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t/SynologyDrive/Work/7. Projektek/P_OTKA/Brewery/"/>
    </mc:Choice>
  </mc:AlternateContent>
  <xr:revisionPtr revIDLastSave="0" documentId="13_ncr:1_{B7CE06B7-B36F-6944-8F12-C57BA90E102B}" xr6:coauthVersionLast="47" xr6:coauthVersionMax="47" xr10:uidLastSave="{00000000-0000-0000-0000-000000000000}"/>
  <bookViews>
    <workbookView xWindow="0" yWindow="0" windowWidth="38400" windowHeight="21600" xr2:uid="{270E5748-726D-E34F-83FA-AB50D60FEE0F}"/>
  </bookViews>
  <sheets>
    <sheet name="Instructions" sheetId="4" r:id="rId1"/>
    <sheet name="Main" sheetId="1" r:id="rId2"/>
    <sheet name="Flow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4" i="3" l="1"/>
  <c r="M20" i="3"/>
  <c r="E20" i="3"/>
  <c r="G20" i="3"/>
  <c r="AO16" i="3" l="1"/>
  <c r="C50" i="1"/>
  <c r="C373" i="1"/>
  <c r="C372" i="1"/>
  <c r="C342" i="1"/>
  <c r="C341" i="1"/>
  <c r="C340" i="1"/>
  <c r="E319" i="1"/>
  <c r="E318" i="1"/>
  <c r="D318" i="1"/>
  <c r="C317" i="1"/>
  <c r="C316" i="1"/>
  <c r="C315" i="1"/>
  <c r="C314" i="1"/>
  <c r="C292" i="1"/>
  <c r="C291" i="1"/>
  <c r="C269" i="1"/>
  <c r="C263" i="1"/>
  <c r="C262" i="1"/>
  <c r="C258" i="1"/>
  <c r="C268" i="1"/>
  <c r="C267" i="1"/>
  <c r="C253" i="1"/>
  <c r="C252" i="1"/>
  <c r="C154" i="1"/>
  <c r="C114" i="1"/>
  <c r="C113" i="1"/>
  <c r="C112" i="1"/>
  <c r="C111" i="1"/>
  <c r="C82" i="1"/>
  <c r="C79" i="1"/>
  <c r="C78" i="1"/>
  <c r="C72" i="1"/>
  <c r="E24" i="1"/>
  <c r="E18" i="1"/>
  <c r="C38" i="1"/>
  <c r="C37" i="1"/>
  <c r="C185" i="1"/>
  <c r="C149" i="1"/>
  <c r="E22" i="1"/>
  <c r="E21" i="1"/>
  <c r="C148" i="1"/>
  <c r="C147" i="1"/>
  <c r="C146" i="1"/>
  <c r="C145" i="1"/>
  <c r="C144" i="1"/>
  <c r="C143" i="1"/>
  <c r="G15" i="3" l="1"/>
  <c r="N69" i="3" l="1"/>
  <c r="P68" i="3"/>
  <c r="P47" i="3" s="1"/>
  <c r="N67" i="3"/>
  <c r="N47" i="3" s="1"/>
  <c r="M66" i="3"/>
  <c r="E64" i="3"/>
  <c r="E63" i="3"/>
  <c r="E62" i="3"/>
  <c r="E61" i="3"/>
  <c r="D59" i="3"/>
  <c r="D58" i="3"/>
  <c r="D57" i="3"/>
  <c r="B54" i="3"/>
  <c r="B53" i="3"/>
  <c r="B52" i="3"/>
  <c r="B51" i="3"/>
  <c r="B50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O47" i="3"/>
  <c r="M47" i="3"/>
  <c r="L47" i="3"/>
  <c r="K47" i="3"/>
  <c r="J47" i="3"/>
  <c r="I47" i="3"/>
  <c r="H47" i="3"/>
  <c r="G47" i="3"/>
  <c r="F47" i="3"/>
  <c r="C47" i="3"/>
  <c r="AN46" i="3"/>
  <c r="AO46" i="3" s="1"/>
  <c r="AN45" i="3"/>
  <c r="AO45" i="3" s="1"/>
  <c r="AL44" i="3"/>
  <c r="AK44" i="3"/>
  <c r="AK48" i="3" s="1"/>
  <c r="AJ44" i="3"/>
  <c r="AJ48" i="3" s="1"/>
  <c r="AI43" i="3"/>
  <c r="AO43" i="3" s="1"/>
  <c r="AN42" i="3"/>
  <c r="AO42" i="3" s="1"/>
  <c r="AL41" i="3"/>
  <c r="AH41" i="3"/>
  <c r="AG41" i="3"/>
  <c r="AI40" i="3"/>
  <c r="AO40" i="3" s="1"/>
  <c r="AF39" i="3"/>
  <c r="AO39" i="3" s="1"/>
  <c r="AL38" i="3"/>
  <c r="AE38" i="3"/>
  <c r="AD38" i="3"/>
  <c r="S37" i="3"/>
  <c r="E37" i="3"/>
  <c r="AN36" i="3"/>
  <c r="AO36" i="3" s="1"/>
  <c r="AN35" i="3"/>
  <c r="AC35" i="3"/>
  <c r="S35" i="3"/>
  <c r="AO35" i="3" s="1"/>
  <c r="AB34" i="3"/>
  <c r="AA34" i="3"/>
  <c r="Z34" i="3"/>
  <c r="AL34" i="3"/>
  <c r="AN33" i="3"/>
  <c r="AO33" i="3" s="1"/>
  <c r="X32" i="3"/>
  <c r="E32" i="3"/>
  <c r="C32" i="3"/>
  <c r="AL31" i="3"/>
  <c r="AO31" i="3" s="1"/>
  <c r="D31" i="3"/>
  <c r="C31" i="3"/>
  <c r="B31" i="3"/>
  <c r="AI30" i="3"/>
  <c r="F30" i="3"/>
  <c r="V29" i="3"/>
  <c r="AO29" i="3" s="1"/>
  <c r="U28" i="3"/>
  <c r="U48" i="3" s="1"/>
  <c r="T28" i="3"/>
  <c r="S27" i="3"/>
  <c r="AO27" i="3" s="1"/>
  <c r="AN26" i="3"/>
  <c r="S26" i="3"/>
  <c r="R25" i="3"/>
  <c r="Q25" i="3"/>
  <c r="AM24" i="3"/>
  <c r="AC24" i="3"/>
  <c r="S24" i="3"/>
  <c r="AL23" i="3"/>
  <c r="O23" i="3"/>
  <c r="C23" i="3"/>
  <c r="S22" i="3"/>
  <c r="P22" i="3"/>
  <c r="N22" i="3"/>
  <c r="K22" i="3"/>
  <c r="AN21" i="3"/>
  <c r="AO21" i="3" s="1"/>
  <c r="AL20" i="3"/>
  <c r="M48" i="3"/>
  <c r="L20" i="3"/>
  <c r="I20" i="3"/>
  <c r="D20" i="3"/>
  <c r="C20" i="3"/>
  <c r="AN19" i="3"/>
  <c r="AF19" i="3"/>
  <c r="P19" i="3"/>
  <c r="S18" i="3"/>
  <c r="K18" i="3"/>
  <c r="AO18" i="3" s="1"/>
  <c r="AN17" i="3"/>
  <c r="AF17" i="3"/>
  <c r="N17" i="3"/>
  <c r="AN16" i="3"/>
  <c r="AF16" i="3"/>
  <c r="P16" i="3"/>
  <c r="N16" i="3"/>
  <c r="K16" i="3"/>
  <c r="AL15" i="3"/>
  <c r="J15" i="3"/>
  <c r="I15" i="3"/>
  <c r="H15" i="3"/>
  <c r="AF14" i="3"/>
  <c r="AB14" i="3"/>
  <c r="W14" i="3"/>
  <c r="P14" i="3"/>
  <c r="N14" i="3"/>
  <c r="K14" i="3"/>
  <c r="F14" i="3"/>
  <c r="AN13" i="3"/>
  <c r="AN12" i="3"/>
  <c r="AO12" i="3" s="1"/>
  <c r="Y11" i="3"/>
  <c r="W11" i="3"/>
  <c r="K11" i="3"/>
  <c r="AM10" i="3"/>
  <c r="Y10" i="3"/>
  <c r="AL9" i="3"/>
  <c r="Y9" i="3"/>
  <c r="S9" i="3"/>
  <c r="N8" i="3"/>
  <c r="AO8" i="3" s="1"/>
  <c r="AL7" i="3"/>
  <c r="K7" i="3"/>
  <c r="AO6" i="3"/>
  <c r="Y5" i="3"/>
  <c r="AO5" i="3" s="1"/>
  <c r="Y4" i="3"/>
  <c r="W4" i="3"/>
  <c r="P4" i="3"/>
  <c r="N4" i="3"/>
  <c r="K4" i="3"/>
  <c r="D333" i="1"/>
  <c r="E333" i="1" s="1"/>
  <c r="D306" i="1"/>
  <c r="E306" i="1" s="1"/>
  <c r="D261" i="1"/>
  <c r="E261" i="1" s="1"/>
  <c r="D179" i="1"/>
  <c r="D115" i="1"/>
  <c r="D83" i="1"/>
  <c r="E83" i="1" s="1"/>
  <c r="D81" i="1"/>
  <c r="E81" i="1" s="1"/>
  <c r="D49" i="1"/>
  <c r="D39" i="1"/>
  <c r="E39" i="1" s="1"/>
  <c r="D31" i="1"/>
  <c r="E31" i="1" s="1"/>
  <c r="E12" i="1"/>
  <c r="D15" i="1"/>
  <c r="E15" i="1" s="1"/>
  <c r="E17" i="1"/>
  <c r="E19" i="1"/>
  <c r="E20" i="1"/>
  <c r="E23" i="1"/>
  <c r="E25" i="1"/>
  <c r="C26" i="1"/>
  <c r="E29" i="1"/>
  <c r="E30" i="1"/>
  <c r="C32" i="1"/>
  <c r="E37" i="1"/>
  <c r="E38" i="1"/>
  <c r="D41" i="1"/>
  <c r="E41" i="1"/>
  <c r="C42" i="1"/>
  <c r="D46" i="1"/>
  <c r="E46" i="1"/>
  <c r="E49" i="1"/>
  <c r="E50" i="1"/>
  <c r="C51" i="1"/>
  <c r="D54" i="1"/>
  <c r="E54" i="1" s="1"/>
  <c r="D58" i="1"/>
  <c r="E58" i="1"/>
  <c r="D59" i="1"/>
  <c r="E59" i="1"/>
  <c r="E61" i="1"/>
  <c r="D65" i="1"/>
  <c r="E65" i="1" s="1"/>
  <c r="E66" i="1"/>
  <c r="E67" i="1"/>
  <c r="E68" i="1"/>
  <c r="C69" i="1"/>
  <c r="E72" i="1"/>
  <c r="C73" i="1"/>
  <c r="E78" i="1"/>
  <c r="E79" i="1"/>
  <c r="D80" i="1"/>
  <c r="E80" i="1"/>
  <c r="E82" i="1"/>
  <c r="C84" i="1"/>
  <c r="D88" i="1"/>
  <c r="E88" i="1" s="1"/>
  <c r="D92" i="1"/>
  <c r="E92" i="1" s="1"/>
  <c r="D96" i="1"/>
  <c r="E96" i="1"/>
  <c r="D97" i="1"/>
  <c r="E97" i="1" s="1"/>
  <c r="E99" i="1"/>
  <c r="D103" i="1"/>
  <c r="E103" i="1"/>
  <c r="E104" i="1"/>
  <c r="E105" i="1"/>
  <c r="C106" i="1"/>
  <c r="E111" i="1"/>
  <c r="E112" i="1"/>
  <c r="E113" i="1"/>
  <c r="E114" i="1"/>
  <c r="E115" i="1"/>
  <c r="C116" i="1"/>
  <c r="D120" i="1"/>
  <c r="E120" i="1"/>
  <c r="C121" i="1"/>
  <c r="D124" i="1"/>
  <c r="E124" i="1"/>
  <c r="D128" i="1"/>
  <c r="E128" i="1" s="1"/>
  <c r="D129" i="1"/>
  <c r="E129" i="1"/>
  <c r="E131" i="1"/>
  <c r="E135" i="1"/>
  <c r="E136" i="1"/>
  <c r="E137" i="1"/>
  <c r="C138" i="1"/>
  <c r="E143" i="1"/>
  <c r="E144" i="1"/>
  <c r="E145" i="1"/>
  <c r="E146" i="1"/>
  <c r="E147" i="1"/>
  <c r="E148" i="1"/>
  <c r="E149" i="1"/>
  <c r="C150" i="1"/>
  <c r="E154" i="1"/>
  <c r="D160" i="1"/>
  <c r="E160" i="1"/>
  <c r="D164" i="1"/>
  <c r="E164" i="1" s="1"/>
  <c r="D165" i="1"/>
  <c r="E165" i="1"/>
  <c r="E171" i="1"/>
  <c r="E175" i="1"/>
  <c r="E176" i="1"/>
  <c r="E177" i="1"/>
  <c r="E178" i="1"/>
  <c r="E179" i="1"/>
  <c r="C180" i="1"/>
  <c r="E185" i="1"/>
  <c r="D189" i="1"/>
  <c r="E189" i="1"/>
  <c r="D193" i="1"/>
  <c r="E193" i="1"/>
  <c r="D194" i="1"/>
  <c r="E194" i="1" s="1"/>
  <c r="D200" i="1"/>
  <c r="E200" i="1"/>
  <c r="E201" i="1"/>
  <c r="E202" i="1"/>
  <c r="C203" i="1"/>
  <c r="E206" i="1"/>
  <c r="E207" i="1"/>
  <c r="C208" i="1"/>
  <c r="D213" i="1"/>
  <c r="E213" i="1"/>
  <c r="C218" i="1"/>
  <c r="D218" i="1"/>
  <c r="E218" i="1"/>
  <c r="C219" i="1"/>
  <c r="E221" i="1"/>
  <c r="D225" i="1"/>
  <c r="E225" i="1" s="1"/>
  <c r="D229" i="1"/>
  <c r="E229" i="1"/>
  <c r="D230" i="1"/>
  <c r="E230" i="1"/>
  <c r="D236" i="1"/>
  <c r="E236" i="1" s="1"/>
  <c r="E237" i="1"/>
  <c r="E238" i="1"/>
  <c r="D239" i="1"/>
  <c r="E239" i="1"/>
  <c r="E240" i="1"/>
  <c r="E241" i="1"/>
  <c r="E242" i="1"/>
  <c r="C243" i="1"/>
  <c r="E246" i="1"/>
  <c r="C247" i="1"/>
  <c r="E252" i="1"/>
  <c r="D257" i="1"/>
  <c r="E257" i="1"/>
  <c r="E258" i="1"/>
  <c r="C259" i="1"/>
  <c r="E262" i="1"/>
  <c r="C264" i="1"/>
  <c r="E264" i="1"/>
  <c r="E267" i="1"/>
  <c r="E268" i="1"/>
  <c r="E269" i="1"/>
  <c r="C270" i="1"/>
  <c r="D273" i="1"/>
  <c r="E273" i="1"/>
  <c r="D277" i="1"/>
  <c r="E277" i="1" s="1"/>
  <c r="D278" i="1"/>
  <c r="E278" i="1"/>
  <c r="E280" i="1"/>
  <c r="E283" i="1"/>
  <c r="E284" i="1"/>
  <c r="E285" i="1"/>
  <c r="C286" i="1"/>
  <c r="E291" i="1"/>
  <c r="E292" i="1"/>
  <c r="C293" i="1"/>
  <c r="D296" i="1"/>
  <c r="E296" i="1" s="1"/>
  <c r="D300" i="1"/>
  <c r="E300" i="1"/>
  <c r="D301" i="1"/>
  <c r="E301" i="1" s="1"/>
  <c r="E303" i="1"/>
  <c r="E307" i="1"/>
  <c r="E308" i="1"/>
  <c r="C309" i="1"/>
  <c r="E314" i="1"/>
  <c r="E315" i="1"/>
  <c r="E316" i="1"/>
  <c r="E317" i="1"/>
  <c r="C319" i="1"/>
  <c r="D322" i="1"/>
  <c r="E322" i="1" s="1"/>
  <c r="D326" i="1"/>
  <c r="E326" i="1"/>
  <c r="D327" i="1"/>
  <c r="E327" i="1"/>
  <c r="D332" i="1"/>
  <c r="E332" i="1"/>
  <c r="E334" i="1"/>
  <c r="C335" i="1"/>
  <c r="E340" i="1"/>
  <c r="E341" i="1"/>
  <c r="E342" i="1"/>
  <c r="C343" i="1"/>
  <c r="D346" i="1"/>
  <c r="E346" i="1" s="1"/>
  <c r="D350" i="1"/>
  <c r="E350" i="1"/>
  <c r="D351" i="1"/>
  <c r="E351" i="1" s="1"/>
  <c r="E356" i="1"/>
  <c r="E357" i="1"/>
  <c r="E358" i="1"/>
  <c r="E359" i="1"/>
  <c r="E360" i="1"/>
  <c r="E361" i="1"/>
  <c r="E362" i="1"/>
  <c r="E363" i="1"/>
  <c r="E364" i="1"/>
  <c r="E365" i="1"/>
  <c r="E366" i="1"/>
  <c r="C367" i="1"/>
  <c r="E372" i="1"/>
  <c r="E373" i="1"/>
  <c r="C374" i="1"/>
  <c r="D379" i="1"/>
  <c r="E379" i="1" s="1"/>
  <c r="D383" i="1"/>
  <c r="E383" i="1"/>
  <c r="D384" i="1"/>
  <c r="E384" i="1"/>
  <c r="AO10" i="3" l="1"/>
  <c r="AO13" i="3"/>
  <c r="AO23" i="3"/>
  <c r="X48" i="3"/>
  <c r="AP33" i="3" s="1" a="1"/>
  <c r="AP33" i="3" s="1"/>
  <c r="F48" i="3"/>
  <c r="L48" i="3"/>
  <c r="W48" i="3"/>
  <c r="G48" i="3"/>
  <c r="Y48" i="3"/>
  <c r="AO22" i="3"/>
  <c r="AP22" i="3" s="1" a="1"/>
  <c r="AP22" i="3" s="1"/>
  <c r="AO28" i="3"/>
  <c r="AO25" i="3"/>
  <c r="H48" i="3"/>
  <c r="Q48" i="3"/>
  <c r="AE48" i="3"/>
  <c r="AP40" i="3" s="1" a="1"/>
  <c r="AP40" i="3" s="1"/>
  <c r="AO26" i="3"/>
  <c r="D47" i="3"/>
  <c r="D48" i="3" s="1"/>
  <c r="AO17" i="3"/>
  <c r="E47" i="3"/>
  <c r="E48" i="3" s="1"/>
  <c r="AG48" i="3"/>
  <c r="AP42" i="3" s="1" a="1"/>
  <c r="AP42" i="3" s="1"/>
  <c r="AO19" i="3"/>
  <c r="AI48" i="3"/>
  <c r="AO44" i="3"/>
  <c r="AP44" i="3" s="1"/>
  <c r="R48" i="3"/>
  <c r="AP27" i="3" s="1" a="1"/>
  <c r="AP27" i="3" s="1"/>
  <c r="AO37" i="3"/>
  <c r="AO24" i="3"/>
  <c r="AO38" i="3"/>
  <c r="V48" i="3"/>
  <c r="AP31" i="3" s="1" a="1"/>
  <c r="AP31" i="3" s="1"/>
  <c r="AO32" i="3"/>
  <c r="AP32" i="3" s="1" a="1"/>
  <c r="AP32" i="3" s="1"/>
  <c r="AO11" i="3"/>
  <c r="C48" i="3"/>
  <c r="AO4" i="3"/>
  <c r="AO15" i="3"/>
  <c r="AO20" i="3"/>
  <c r="AO14" i="3"/>
  <c r="N48" i="3"/>
  <c r="AP23" i="3" s="1" a="1"/>
  <c r="AP23" i="3" s="1"/>
  <c r="AO34" i="3"/>
  <c r="AO41" i="3"/>
  <c r="J48" i="3"/>
  <c r="Z48" i="3"/>
  <c r="AP35" i="3" s="1" a="1"/>
  <c r="AP35" i="3" s="1"/>
  <c r="AO7" i="3"/>
  <c r="P48" i="3"/>
  <c r="AA48" i="3"/>
  <c r="AP36" i="3" s="1" a="1"/>
  <c r="AP36" i="3" s="1"/>
  <c r="B47" i="3"/>
  <c r="B48" i="3" s="1"/>
  <c r="AB48" i="3"/>
  <c r="AO9" i="3"/>
  <c r="AF48" i="3"/>
  <c r="AC48" i="3"/>
  <c r="S48" i="3"/>
  <c r="AO30" i="3"/>
  <c r="AP30" i="3" a="1"/>
  <c r="AP30" i="3" s="1"/>
  <c r="AP46" i="3"/>
  <c r="AP45" i="3"/>
  <c r="AP21" i="3" a="1"/>
  <c r="AP21" i="3" s="1"/>
  <c r="AD48" i="3"/>
  <c r="AP39" i="3" s="1" a="1"/>
  <c r="AP39" i="3" s="1"/>
  <c r="I48" i="3"/>
  <c r="AP18" i="3" s="1" a="1"/>
  <c r="AP18" i="3" s="1"/>
  <c r="K48" i="3"/>
  <c r="O48" i="3"/>
  <c r="AH48" i="3"/>
  <c r="AP43" i="3" s="1" a="1"/>
  <c r="AP43" i="3" s="1"/>
  <c r="T48" i="3"/>
  <c r="AP29" i="3" s="1" a="1"/>
  <c r="AP29" i="3" s="1"/>
  <c r="C170" i="1"/>
  <c r="E170" i="1" s="1"/>
  <c r="AP34" i="3" l="1" a="1"/>
  <c r="AP34" i="3" s="1"/>
  <c r="AP15" i="3" a="1"/>
  <c r="AP15" i="3" s="1"/>
  <c r="AP17" i="3" a="1"/>
  <c r="AP17" i="3" s="1"/>
  <c r="AP26" i="3" a="1"/>
  <c r="AP26" i="3" s="1"/>
  <c r="AP4" i="3"/>
  <c r="AP25" i="3" a="1"/>
  <c r="AP25" i="3" s="1"/>
  <c r="AP28" i="3" a="1"/>
  <c r="AP28" i="3" s="1"/>
  <c r="AP16" i="3" a="1"/>
  <c r="AP16" i="3" s="1"/>
  <c r="AP19" i="3" a="1"/>
  <c r="AP19" i="3" s="1"/>
  <c r="AP41" i="3" a="1"/>
  <c r="AP41" i="3" s="1"/>
  <c r="AP24" i="3" a="1"/>
  <c r="AP24" i="3" s="1"/>
  <c r="AP38" i="3" a="1"/>
  <c r="AP38" i="3" s="1"/>
  <c r="AP11" i="3"/>
  <c r="AP6" i="3"/>
  <c r="AP37" i="3" a="1"/>
  <c r="AP37" i="3" s="1"/>
  <c r="AP14" i="3" a="1"/>
  <c r="AP14" i="3" s="1"/>
  <c r="AP20" i="3" a="1"/>
  <c r="AP20" i="3" s="1"/>
  <c r="R26" i="1" l="1"/>
  <c r="Q26" i="1"/>
  <c r="P26" i="1"/>
  <c r="O26" i="1"/>
  <c r="N26" i="1"/>
  <c r="M26" i="1"/>
  <c r="L26" i="1"/>
  <c r="K26" i="1"/>
  <c r="J26" i="1"/>
  <c r="H26" i="1"/>
  <c r="I26" i="1"/>
  <c r="R76" i="1" l="1"/>
  <c r="Q76" i="1"/>
  <c r="P76" i="1"/>
  <c r="O76" i="1"/>
  <c r="N76" i="1"/>
  <c r="M76" i="1"/>
  <c r="L76" i="1"/>
  <c r="K76" i="1"/>
  <c r="J76" i="1"/>
  <c r="I76" i="1"/>
  <c r="H76" i="1"/>
  <c r="T69" i="1"/>
  <c r="S26" i="1"/>
  <c r="S31" i="1"/>
  <c r="I51" i="1"/>
  <c r="S51" i="1" s="1"/>
  <c r="I50" i="1"/>
  <c r="R43" i="1"/>
  <c r="S43" i="1" s="1"/>
  <c r="R42" i="1"/>
  <c r="S42" i="1" s="1"/>
  <c r="R41" i="1"/>
  <c r="K44" i="1"/>
  <c r="Q40" i="1"/>
  <c r="S40" i="1" s="1"/>
  <c r="L34" i="1"/>
  <c r="S34" i="1" s="1"/>
  <c r="M56" i="1"/>
  <c r="M55" i="1"/>
  <c r="I55" i="1"/>
  <c r="H55" i="1"/>
  <c r="N56" i="1"/>
  <c r="J56" i="1"/>
  <c r="I56" i="1"/>
  <c r="H56" i="1"/>
  <c r="Q39" i="1"/>
  <c r="N37" i="1"/>
  <c r="S37" i="1" s="1"/>
  <c r="N36" i="1"/>
  <c r="M35" i="1"/>
  <c r="S35" i="1" s="1"/>
  <c r="J33" i="1"/>
  <c r="S33" i="1" s="1"/>
  <c r="I32" i="1"/>
  <c r="S32" i="1" s="1"/>
  <c r="J52" i="1"/>
  <c r="I49" i="1"/>
  <c r="S49" i="1" s="1"/>
  <c r="J68" i="1"/>
  <c r="J67" i="1"/>
  <c r="J54" i="1"/>
  <c r="N57" i="1"/>
  <c r="P38" i="1"/>
  <c r="S38" i="1" s="1"/>
  <c r="R68" i="1"/>
  <c r="R67" i="1"/>
  <c r="R54" i="1"/>
  <c r="R62" i="1" s="1"/>
  <c r="Q68" i="1"/>
  <c r="Q67" i="1"/>
  <c r="Q54" i="1"/>
  <c r="Q62" i="1" s="1"/>
  <c r="P68" i="1"/>
  <c r="P67" i="1"/>
  <c r="P54" i="1"/>
  <c r="P62" i="1" s="1"/>
  <c r="O68" i="1"/>
  <c r="O67" i="1"/>
  <c r="O54" i="1"/>
  <c r="O62" i="1" s="1"/>
  <c r="N68" i="1"/>
  <c r="N67" i="1"/>
  <c r="N54" i="1"/>
  <c r="M68" i="1"/>
  <c r="M67" i="1"/>
  <c r="M54" i="1"/>
  <c r="L68" i="1"/>
  <c r="L67" i="1"/>
  <c r="L54" i="1"/>
  <c r="L62" i="1" s="1"/>
  <c r="K68" i="1"/>
  <c r="K67" i="1"/>
  <c r="K54" i="1"/>
  <c r="K62" i="1" s="1"/>
  <c r="I68" i="1"/>
  <c r="I67" i="1"/>
  <c r="I54" i="1"/>
  <c r="H54" i="1"/>
  <c r="H68" i="1"/>
  <c r="H67" i="1"/>
  <c r="K63" i="1" l="1"/>
  <c r="H77" i="1"/>
  <c r="M77" i="1"/>
  <c r="J77" i="1"/>
  <c r="K77" i="1"/>
  <c r="K78" i="1" s="1"/>
  <c r="R8" i="1" s="1"/>
  <c r="S55" i="1"/>
  <c r="L77" i="1"/>
  <c r="R44" i="1"/>
  <c r="R63" i="1" s="1"/>
  <c r="O77" i="1"/>
  <c r="S68" i="1"/>
  <c r="N44" i="1"/>
  <c r="N77" i="1"/>
  <c r="N62" i="1"/>
  <c r="S54" i="1"/>
  <c r="I62" i="1"/>
  <c r="S50" i="1"/>
  <c r="S52" i="1"/>
  <c r="J62" i="1"/>
  <c r="S67" i="1"/>
  <c r="I77" i="1"/>
  <c r="Q77" i="1"/>
  <c r="R77" i="1"/>
  <c r="S41" i="1"/>
  <c r="P77" i="1"/>
  <c r="P44" i="1"/>
  <c r="P63" i="1" s="1"/>
  <c r="S76" i="1"/>
  <c r="M62" i="1"/>
  <c r="S56" i="1"/>
  <c r="S39" i="1"/>
  <c r="S36" i="1"/>
  <c r="M44" i="1"/>
  <c r="I44" i="1"/>
  <c r="J44" i="1"/>
  <c r="L44" i="1"/>
  <c r="L63" i="1" s="1"/>
  <c r="O44" i="1"/>
  <c r="O63" i="1" s="1"/>
  <c r="Q44" i="1"/>
  <c r="Q63" i="1" s="1"/>
  <c r="J63" i="1" l="1"/>
  <c r="J78" i="1" s="1"/>
  <c r="R7" i="1" s="1"/>
  <c r="O78" i="1"/>
  <c r="R12" i="1" s="1"/>
  <c r="Q78" i="1"/>
  <c r="R14" i="1" s="1"/>
  <c r="N63" i="1"/>
  <c r="N78" i="1" s="1"/>
  <c r="R11" i="1" s="1"/>
  <c r="R78" i="1"/>
  <c r="R15" i="1" s="1"/>
  <c r="L78" i="1"/>
  <c r="R9" i="1" s="1"/>
  <c r="I63" i="1"/>
  <c r="P78" i="1"/>
  <c r="R13" i="1" s="1"/>
  <c r="I78" i="1"/>
  <c r="R6" i="1" s="1"/>
  <c r="S77" i="1"/>
  <c r="S81" i="1"/>
  <c r="S84" i="1" s="1"/>
  <c r="M63" i="1"/>
  <c r="M78" i="1" s="1"/>
  <c r="R10" i="1" s="1"/>
  <c r="H57" i="1" l="1"/>
  <c r="S57" i="1" s="1"/>
  <c r="H48" i="1"/>
  <c r="H30" i="1"/>
  <c r="S30" i="1" s="1"/>
  <c r="S48" i="1" l="1"/>
  <c r="S62" i="1" s="1"/>
  <c r="H62" i="1"/>
  <c r="H44" i="1"/>
  <c r="S44" i="1" s="1"/>
  <c r="H63" i="1" l="1"/>
  <c r="H78" i="1" s="1"/>
  <c r="R5" i="1" s="1"/>
  <c r="S63" i="1"/>
  <c r="S78" i="1" s="1"/>
  <c r="S79" i="1" l="1"/>
  <c r="S80" i="1" s="1"/>
  <c r="S82" i="1" s="1"/>
  <c r="S86" i="1" s="1"/>
  <c r="S88" i="1" s="1"/>
  <c r="S89" i="1" s="1"/>
  <c r="R17" i="1" s="1"/>
  <c r="R16" i="1"/>
  <c r="S9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tc={E1BF2A3C-BFC3-CA49-911D-9ED98C444EC6}</author>
    <author>tc={15A09C2C-379A-7043-929A-A0C42DF7E13F}</author>
  </authors>
  <commentList>
    <comment ref="M26" authorId="0" shapeId="0" xr:uid="{E1BF2A3C-BFC3-CA49-911D-9ED98C444EC6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with daylight help</t>
      </text>
    </comment>
    <comment ref="D78" authorId="1" shapeId="0" xr:uid="{15A09C2C-379A-7043-929A-A0C42DF7E13F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the mill is cost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tc={7321183A-00F3-944C-AB88-756A248C2E1D}</author>
    <author>tc={9D14DC64-9A76-1340-8FAD-EC00D2A67812}</author>
  </authors>
  <commentList>
    <comment ref="N17" authorId="0" shapeId="0" xr:uid="{7321183A-00F3-944C-AB88-756A248C2E1D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flour</t>
      </text>
    </comment>
    <comment ref="B49" authorId="1" shapeId="0" xr:uid="{9D14DC64-9A76-1340-8FAD-EC00D2A67812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42 - brewery, 84 - algae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<sst xmlns="http://schemas.openxmlformats.org/spreadsheetml/2006/main" count="766" uniqueCount="382">
  <si>
    <t>ORIGINAL VALUES OF SALARIES, PRICES AND ENERGY/WATER</t>
  </si>
  <si>
    <t xml:space="preserve">     Original  Salaries</t>
  </si>
  <si>
    <t>Labor salary</t>
  </si>
  <si>
    <t>Expert - Chief salary</t>
  </si>
  <si>
    <t xml:space="preserve">     Original  Prices</t>
  </si>
  <si>
    <t>liter</t>
  </si>
  <si>
    <t>kg</t>
  </si>
  <si>
    <t>capita</t>
  </si>
  <si>
    <t xml:space="preserve">      Water</t>
  </si>
  <si>
    <t xml:space="preserve">      Gas</t>
  </si>
  <si>
    <t>Material flow</t>
  </si>
  <si>
    <t xml:space="preserve">      Staff</t>
  </si>
  <si>
    <t>Chief executive, controller</t>
  </si>
  <si>
    <t>Administration, accounting</t>
  </si>
  <si>
    <t>Natural waste</t>
  </si>
  <si>
    <t>OUTPUTS- Beer</t>
  </si>
  <si>
    <t xml:space="preserve">      Beer</t>
  </si>
  <si>
    <t>Production</t>
  </si>
  <si>
    <t>Energy - gas flow</t>
  </si>
  <si>
    <t>Used hops - &gt; digester (18)</t>
  </si>
  <si>
    <t xml:space="preserve">liter </t>
  </si>
  <si>
    <t xml:space="preserve">labour </t>
  </si>
  <si>
    <t>Total material output</t>
  </si>
  <si>
    <t>INPUTS - Beer</t>
  </si>
  <si>
    <t>Total material input</t>
  </si>
  <si>
    <t>Total energy-gas input</t>
  </si>
  <si>
    <t>Total energy-gas ooutput</t>
  </si>
  <si>
    <t>CO2 - &gt; for sale</t>
  </si>
  <si>
    <t>LPG-e</t>
  </si>
  <si>
    <t xml:space="preserve">      Labour - blue collar workers</t>
  </si>
  <si>
    <t>(from land) -&gt;Barley</t>
  </si>
  <si>
    <t>(from land) -&gt; Hops</t>
  </si>
  <si>
    <t>(external) -&gt; Beer yeast</t>
  </si>
  <si>
    <t xml:space="preserve">(external) -&gt; Water  </t>
  </si>
  <si>
    <t>(from brewery) -&gt; heat</t>
  </si>
  <si>
    <t>Unit</t>
  </si>
  <si>
    <t>Bakery</t>
  </si>
  <si>
    <t>OUTPUTS - Bakery</t>
  </si>
  <si>
    <t>Bread (product)</t>
  </si>
  <si>
    <t>Evaporation (baking)</t>
  </si>
  <si>
    <t>L</t>
  </si>
  <si>
    <t>INPUTS - Bakery</t>
  </si>
  <si>
    <t>(from Mill) → Flour</t>
  </si>
  <si>
    <t>(from Brewery) → Spent grain (wet)</t>
  </si>
  <si>
    <t>(external) → Water</t>
  </si>
  <si>
    <t>(external) → Salt</t>
  </si>
  <si>
    <t>Energy</t>
  </si>
  <si>
    <t>(external) → Electricity</t>
  </si>
  <si>
    <t>Total energy input</t>
  </si>
  <si>
    <t>Brewery</t>
  </si>
  <si>
    <t>Mushroom</t>
  </si>
  <si>
    <t>OUTPUTS - Mushroom</t>
  </si>
  <si>
    <t>Oyster mushroom (product)</t>
  </si>
  <si>
    <t>Mushroom waste → AD</t>
  </si>
  <si>
    <t>Spent substrate → AD</t>
  </si>
  <si>
    <t>INPUTS - Mushroom</t>
  </si>
  <si>
    <t>(from Brewery) → Yeast</t>
  </si>
  <si>
    <t>(from Land) → Straw</t>
  </si>
  <si>
    <t>(from Brewery water) → Water</t>
  </si>
  <si>
    <t>OUTPUTS - Digester</t>
  </si>
  <si>
    <t>Biogas → CHP</t>
  </si>
  <si>
    <t>Digestate (liquid) → Land</t>
  </si>
  <si>
    <t>Digestate (cake) → Vermiculture</t>
  </si>
  <si>
    <t>INPUTS - Digester</t>
  </si>
  <si>
    <t>(from Brewery) → Spent hops</t>
  </si>
  <si>
    <t>(from Bakery) → Waste bread</t>
  </si>
  <si>
    <t>(from Mushroom) → Spent substrate</t>
  </si>
  <si>
    <t>(from Mushroom) → Mushroom waste</t>
  </si>
  <si>
    <t>(from Aquaponia) → Sludge cake</t>
  </si>
  <si>
    <t>(from Aquaponia) → Veg waste</t>
  </si>
  <si>
    <t>(from CHP) → Heat to digester</t>
  </si>
  <si>
    <t>Gas</t>
  </si>
  <si>
    <t>Total gas flow (units vary)</t>
  </si>
  <si>
    <t>CHP</t>
  </si>
  <si>
    <t>OUTPUTS - CHP</t>
  </si>
  <si>
    <t>Material state loss (combustion of biogas)</t>
  </si>
  <si>
    <t>INPUTS - CHP</t>
  </si>
  <si>
    <t>(from AD) → Biogas</t>
  </si>
  <si>
    <t>Electricity → Aquaponia</t>
  </si>
  <si>
    <t>Heat → Aquaponia</t>
  </si>
  <si>
    <t>Heat → AD</t>
  </si>
  <si>
    <t>Heat → environment (loss)</t>
  </si>
  <si>
    <t>OUTPUTS - Algae</t>
  </si>
  <si>
    <t>Algae (dry, 90% DM) → sale</t>
  </si>
  <si>
    <t>Water → Aquaponia</t>
  </si>
  <si>
    <t>Condensate → Aquaponia</t>
  </si>
  <si>
    <t>INPUTS - Algae</t>
  </si>
  <si>
    <t>(external clean) → Water</t>
  </si>
  <si>
    <t>OUTPUTS - Aquaponia</t>
  </si>
  <si>
    <t>Plant produce</t>
  </si>
  <si>
    <t>Fish biomass growth</t>
  </si>
  <si>
    <t>INPUTS - Aquaponia</t>
  </si>
  <si>
    <t>(from Algae) → Water (evap makeup + condensate)</t>
  </si>
  <si>
    <t>(from CHP) → Heat</t>
  </si>
  <si>
    <t>(from Algae dissipation) → Heat</t>
  </si>
  <si>
    <t>(electricity) circulation+air</t>
  </si>
  <si>
    <t>BSF</t>
  </si>
  <si>
    <t>OUTPUTS - BSF</t>
  </si>
  <si>
    <t>Larvae → Poultry</t>
  </si>
  <si>
    <t>Frass → Vermiculture</t>
  </si>
  <si>
    <t>Respiration/evaporation</t>
  </si>
  <si>
    <t>INPUTS - BSF</t>
  </si>
  <si>
    <t>(from Bakery) → Crumbs/bread waste</t>
  </si>
  <si>
    <t>Poultry</t>
  </si>
  <si>
    <t>OUTPUTS - Poultry</t>
  </si>
  <si>
    <t>Eggs</t>
  </si>
  <si>
    <t>Litter+manure → Vermiculture</t>
  </si>
  <si>
    <t>INPUTS - Poultry</t>
  </si>
  <si>
    <t>(from BSF) → Larvae</t>
  </si>
  <si>
    <t>(from Land/Mill) → Grain feed (wheat)</t>
  </si>
  <si>
    <t>OUTPUTS - Vermikulture</t>
  </si>
  <si>
    <t>Vermicompost (leachate mixed) → sale</t>
  </si>
  <si>
    <t>INPUTS - Vermikulture</t>
  </si>
  <si>
    <t>(from AD) → Digestate cake</t>
  </si>
  <si>
    <t>(from BSF) → Frass</t>
  </si>
  <si>
    <t>(from Poultry) → Litter+manure</t>
  </si>
  <si>
    <t>OUTPUTS - Land</t>
  </si>
  <si>
    <t>Hops → Brewery</t>
  </si>
  <si>
    <t>Evapotranspiration/drain</t>
  </si>
  <si>
    <t>INPUTS - Land</t>
  </si>
  <si>
    <t>Complete brewery plant, monthly data</t>
  </si>
  <si>
    <t xml:space="preserve">      Electricity</t>
  </si>
  <si>
    <t>Operating</t>
  </si>
  <si>
    <t>Fix</t>
  </si>
  <si>
    <t>( external) -&gt;CO2</t>
  </si>
  <si>
    <t>Total energy output</t>
  </si>
  <si>
    <t>CHP -&gt; Electricity</t>
  </si>
  <si>
    <t>heat - &gt; vent.</t>
  </si>
  <si>
    <t>(from Land/Mill) → Grain feed (barley)</t>
  </si>
  <si>
    <t>Quantity</t>
  </si>
  <si>
    <t>unit value</t>
  </si>
  <si>
    <t>Total vallue</t>
  </si>
  <si>
    <t>DASHBOARD</t>
  </si>
  <si>
    <t xml:space="preserve"> * If does not run, set the following: VBA, Tools, References, tick the "Solver".</t>
  </si>
  <si>
    <t xml:space="preserve">      Salaries</t>
  </si>
  <si>
    <t xml:space="preserve">      Prices</t>
  </si>
  <si>
    <t xml:space="preserve">      Energy, water</t>
  </si>
  <si>
    <t>Admin - Salary</t>
  </si>
  <si>
    <t>Monthly data</t>
  </si>
  <si>
    <t>Revenues</t>
  </si>
  <si>
    <t xml:space="preserve">     mushroom</t>
  </si>
  <si>
    <t xml:space="preserve">     beer</t>
  </si>
  <si>
    <t xml:space="preserve">     straw</t>
  </si>
  <si>
    <t>Total Revenue</t>
  </si>
  <si>
    <t>Op. costs</t>
  </si>
  <si>
    <t xml:space="preserve">      raw material</t>
  </si>
  <si>
    <t>Total</t>
  </si>
  <si>
    <t xml:space="preserve">    other op. costs</t>
  </si>
  <si>
    <t xml:space="preserve">      labour</t>
  </si>
  <si>
    <t xml:space="preserve">      water</t>
  </si>
  <si>
    <t xml:space="preserve">      electricity</t>
  </si>
  <si>
    <t xml:space="preserve">      gas</t>
  </si>
  <si>
    <t xml:space="preserve">      packaging</t>
  </si>
  <si>
    <t xml:space="preserve">      transport</t>
  </si>
  <si>
    <t xml:space="preserve">      other overheads</t>
  </si>
  <si>
    <t xml:space="preserve">      waste</t>
  </si>
  <si>
    <t xml:space="preserve"> Total op. cost</t>
  </si>
  <si>
    <t>Total margin</t>
  </si>
  <si>
    <t>Fix costs - expenses</t>
  </si>
  <si>
    <t xml:space="preserve">      rents</t>
  </si>
  <si>
    <t xml:space="preserve">      staff</t>
  </si>
  <si>
    <t xml:space="preserve">         staff - chief</t>
  </si>
  <si>
    <t xml:space="preserve">         staff - admin</t>
  </si>
  <si>
    <t xml:space="preserve">         staff - distributor</t>
  </si>
  <si>
    <t xml:space="preserve">      marketing</t>
  </si>
  <si>
    <t xml:space="preserve">      Interest</t>
  </si>
  <si>
    <t xml:space="preserve">      other expens</t>
  </si>
  <si>
    <t xml:space="preserve">      depreciation</t>
  </si>
  <si>
    <t>Total fix cosst</t>
  </si>
  <si>
    <t>Net income</t>
  </si>
  <si>
    <t xml:space="preserve">   Tax</t>
  </si>
  <si>
    <t>Income after tax</t>
  </si>
  <si>
    <t xml:space="preserve"> + depreciation</t>
  </si>
  <si>
    <t>Available income</t>
  </si>
  <si>
    <t xml:space="preserve">  !You should cover somehow</t>
  </si>
  <si>
    <t xml:space="preserve">      principal payment</t>
  </si>
  <si>
    <t>Available cash (finally)</t>
  </si>
  <si>
    <t>Yearly</t>
  </si>
  <si>
    <t xml:space="preserve">ROI (year) </t>
  </si>
  <si>
    <t>Beer</t>
  </si>
  <si>
    <t>physical workers salary</t>
  </si>
  <si>
    <t>Algae</t>
  </si>
  <si>
    <t>Bread</t>
  </si>
  <si>
    <t>Vegetable</t>
  </si>
  <si>
    <t>Fish</t>
  </si>
  <si>
    <t>Vermicompost</t>
  </si>
  <si>
    <t>Unt/price Euro</t>
  </si>
  <si>
    <t>Total price</t>
  </si>
  <si>
    <t>(from Land/Mill) → straw</t>
  </si>
  <si>
    <t>A.D.</t>
  </si>
  <si>
    <t>Vermiculture</t>
  </si>
  <si>
    <t>Agri.Land</t>
  </si>
  <si>
    <t>Water  1m3</t>
  </si>
  <si>
    <t xml:space="preserve">     bread</t>
  </si>
  <si>
    <t xml:space="preserve">     beer - CO2</t>
  </si>
  <si>
    <t xml:space="preserve">     CHP - CO2</t>
  </si>
  <si>
    <t xml:space="preserve">     algae</t>
  </si>
  <si>
    <t xml:space="preserve">     vegetables</t>
  </si>
  <si>
    <t xml:space="preserve">     fish</t>
  </si>
  <si>
    <t xml:space="preserve">     poultry - eggs</t>
  </si>
  <si>
    <t xml:space="preserve">     vermicompost</t>
  </si>
  <si>
    <t xml:space="preserve">     vormbiomass</t>
  </si>
  <si>
    <t xml:space="preserve">     barley</t>
  </si>
  <si>
    <t xml:space="preserve">     wheet</t>
  </si>
  <si>
    <t>CHP-&gt; heat</t>
  </si>
  <si>
    <t>Worm biomass growth  → sale</t>
  </si>
  <si>
    <t>Barley → sale (130)</t>
  </si>
  <si>
    <t>Straw → sale (180)</t>
  </si>
  <si>
    <t>Wheat →  bran (207) for sale</t>
  </si>
  <si>
    <t xml:space="preserve">(external) -&gt;electricity </t>
  </si>
  <si>
    <t xml:space="preserve">      CO2</t>
  </si>
  <si>
    <t xml:space="preserve">     flour from mill</t>
  </si>
  <si>
    <t xml:space="preserve">     bread yeast</t>
  </si>
  <si>
    <t xml:space="preserve">     salt</t>
  </si>
  <si>
    <t xml:space="preserve">     spawn</t>
  </si>
  <si>
    <t xml:space="preserve">A. D. </t>
  </si>
  <si>
    <t xml:space="preserve">Algae </t>
  </si>
  <si>
    <t>Aquaponia</t>
  </si>
  <si>
    <t>Total investment (20 years)</t>
  </si>
  <si>
    <t xml:space="preserve">Investments are planned for </t>
  </si>
  <si>
    <t>years</t>
  </si>
  <si>
    <t>%</t>
  </si>
  <si>
    <t>ROI (year) - no depreciation</t>
  </si>
  <si>
    <t>Brewery, invesment cost</t>
  </si>
  <si>
    <t>Bakery, investment cost:</t>
  </si>
  <si>
    <t>Mushroom investment cost:</t>
  </si>
  <si>
    <t>Anaerob digester 10m3, investment cost:</t>
  </si>
  <si>
    <t>CHP, investment cost:</t>
  </si>
  <si>
    <t>Algae Reactor 400 m2, investment cost:</t>
  </si>
  <si>
    <t>Aquaponia 250 m2, investment cost:</t>
  </si>
  <si>
    <t>BSF, investment cost:</t>
  </si>
  <si>
    <t>Poultry 30 pieces, investment cost:</t>
  </si>
  <si>
    <t>Vermiculture, investment cost:</t>
  </si>
  <si>
    <t xml:space="preserve">Agriculture - Land, investment cost: </t>
  </si>
  <si>
    <t>Simpiified Prof.&amp; Loss A.</t>
  </si>
  <si>
    <t>Waste bread → BSF (30)</t>
  </si>
  <si>
    <t>Waste bread → AD (11)</t>
  </si>
  <si>
    <t>(external) → bread yeast</t>
  </si>
  <si>
    <t xml:space="preserve">Crop loss → BSF (130) </t>
  </si>
  <si>
    <t>Crop loss →  AD (20)</t>
  </si>
  <si>
    <t xml:space="preserve">Fish sludge (liquor ~1000 internal recirc </t>
  </si>
  <si>
    <t>Fish sludge  cake 200→AD)</t>
  </si>
  <si>
    <t>heat - &gt; brewery (46)</t>
  </si>
  <si>
    <t>heat - &gt; natural waste (77)</t>
  </si>
  <si>
    <t xml:space="preserve">Straw → Mushroom (568) </t>
  </si>
  <si>
    <t xml:space="preserve">Straw → Poultry bedding (85) </t>
  </si>
  <si>
    <t xml:space="preserve">Wheat → Bakery (620) </t>
  </si>
  <si>
    <t>Wheat →  Poultry (80)</t>
  </si>
  <si>
    <t>Barley → Brewery (600)</t>
  </si>
  <si>
    <t>Barley →  Poultry (20)</t>
  </si>
  <si>
    <t>(from AD liquor) → Irrigation water</t>
  </si>
  <si>
    <t>(from Brewery water) → Irrigation water</t>
  </si>
  <si>
    <t>CO2 - used</t>
  </si>
  <si>
    <t>Beer yeast</t>
  </si>
  <si>
    <t>CO2 - new</t>
  </si>
  <si>
    <t>Bread yeast</t>
  </si>
  <si>
    <t>Salt</t>
  </si>
  <si>
    <t>Spawn</t>
  </si>
  <si>
    <t>Wormbiomass</t>
  </si>
  <si>
    <t>Electri-city</t>
  </si>
  <si>
    <t>Heat</t>
  </si>
  <si>
    <t>CO2</t>
  </si>
  <si>
    <t>Water</t>
  </si>
  <si>
    <t>Agri-Land</t>
  </si>
  <si>
    <t>Barley</t>
  </si>
  <si>
    <t>Wheat</t>
  </si>
  <si>
    <t>Hops</t>
  </si>
  <si>
    <t>Hay</t>
  </si>
  <si>
    <t>Bre-wery</t>
  </si>
  <si>
    <t>Mush-room-Plant</t>
  </si>
  <si>
    <t>Mush-room</t>
  </si>
  <si>
    <t>Subst-rate</t>
  </si>
  <si>
    <t>A. Dig-ester 10m3</t>
  </si>
  <si>
    <t>Biogas</t>
  </si>
  <si>
    <t>Diges-tate</t>
  </si>
  <si>
    <t>Algae Reactor 400 m2</t>
  </si>
  <si>
    <t>Aqua-ponia 250 m2</t>
  </si>
  <si>
    <t>Vege-tables</t>
  </si>
  <si>
    <t>Fish-mud</t>
  </si>
  <si>
    <t>Larve</t>
  </si>
  <si>
    <t>Frass</t>
  </si>
  <si>
    <t>Poultry 30 pieces</t>
  </si>
  <si>
    <t>Eggs (kg)</t>
  </si>
  <si>
    <t>Ferti-liser</t>
  </si>
  <si>
    <t>Vermi-culture</t>
  </si>
  <si>
    <t>Vermi-compost</t>
  </si>
  <si>
    <t>Vermi-biomass</t>
  </si>
  <si>
    <t>Nat. Waste</t>
  </si>
  <si>
    <t>By prod.</t>
  </si>
  <si>
    <t>Final use</t>
  </si>
  <si>
    <t>Sum</t>
  </si>
  <si>
    <t>Check</t>
  </si>
  <si>
    <t>Electricity - new</t>
  </si>
  <si>
    <t>Energy - CHP</t>
  </si>
  <si>
    <t>Heat from CHP</t>
  </si>
  <si>
    <t>Heat from Algae</t>
  </si>
  <si>
    <t>CO2 - beer</t>
  </si>
  <si>
    <t>CO2 - CHP</t>
  </si>
  <si>
    <t>AgriLand</t>
  </si>
  <si>
    <t>Wheat - Flour</t>
  </si>
  <si>
    <t>Wheat (Straw)</t>
  </si>
  <si>
    <t>Mush.Plant</t>
  </si>
  <si>
    <t>Substrate</t>
  </si>
  <si>
    <t>A.Digester</t>
  </si>
  <si>
    <t>Digestate</t>
  </si>
  <si>
    <t>Algae Reactor</t>
  </si>
  <si>
    <t>Vegetables</t>
  </si>
  <si>
    <t>Lárva</t>
  </si>
  <si>
    <t>Poultries</t>
  </si>
  <si>
    <t>Egg</t>
  </si>
  <si>
    <t>Fertilizer</t>
  </si>
  <si>
    <t>Vermibiomass</t>
  </si>
  <si>
    <t>External Inputs</t>
  </si>
  <si>
    <t xml:space="preserve">Total </t>
  </si>
  <si>
    <t>CO2 food qual.</t>
  </si>
  <si>
    <t>Alga</t>
  </si>
  <si>
    <t xml:space="preserve">Yeast </t>
  </si>
  <si>
    <t>beer-yeast</t>
  </si>
  <si>
    <t>bread-yeast</t>
  </si>
  <si>
    <t>tax rate</t>
  </si>
  <si>
    <t xml:space="preserve">   beer yeast</t>
  </si>
  <si>
    <t>Energy and material flow</t>
  </si>
  <si>
    <t>Modifiable</t>
  </si>
  <si>
    <t>Instruction / READ‑ME — Closed‑Loop Brewery–Food–Energy System (Monthly Model)</t>
  </si>
  <si>
    <t>1) What is this file?</t>
  </si>
  <si>
    <t xml:space="preserve">• Key inter‑module flows and products with an Input = Output check for each module </t>
  </si>
  <si>
    <t xml:space="preserve">• Main  — Inputs and Outputs for each plant and PL block: module outputs,  OPEX (Operating) and CPEX (Fix) costs by module and in total in a PL block (G22:S90) </t>
  </si>
  <si>
    <t>• IO‑table (Flows - second tag): all lines reference the Data sheet — protected, automated.</t>
  </si>
  <si>
    <t>• Data: prices, tariffs, volumes (editable), conversion factors.</t>
  </si>
  <si>
    <t>• Consolidated P&amp;L: the last column (S) is the whole business unit (main view) with ROI</t>
  </si>
  <si>
    <t>• In the Main tag : all the cells with blue colors.</t>
  </si>
  <si>
    <t>• Dashboard is the main managing tool, you can follow the plants' profitability in (Q4:R17), however, the "Total" is the important number, together with ROI</t>
  </si>
  <si>
    <t>• The Flow tag  and the Profit and Loss Accounts are automated</t>
  </si>
  <si>
    <t>• MATERIAL ledger = water + biomass in the same unit (kg/L) so module balances close.</t>
  </si>
  <si>
    <t>• ENERGY (electricity and heat) ledger is separate: LPG‑e and kWh; conversion: 1 LPG‑e = 7.24719 kWh.</t>
  </si>
  <si>
    <t>• CO₂ mass flows are also kept outside the material Σ (tracked in Gas flows) unless explicitly included.</t>
  </si>
  <si>
    <t>• AD dilution uses internal digestate‑liquor recirculation; no external fresh water is counted as AD input.</t>
  </si>
  <si>
    <t>1) Adjust data to your actual environment</t>
  </si>
  <si>
    <t>2) Adjust prices on Data to realistic local values (e.g., Bread 3.5 €/kg; Mushroom 7.5 €/kg; Algae 90–100 €/kg; Vegetables 2.5–3 €/kg; Fish 6 €/kg; Vermicompost 1.5 €/kg; Beer 6 €/L).</t>
  </si>
  <si>
    <t>3) Algae reactor is a sensitive area, consider the different options carefully, such as electricity option (e.g., inclusion of daylight: higher investment cost, but 14,190 kWh/month less energy).</t>
  </si>
  <si>
    <t>4) Update tariff/factor if needed (€/kWh; kWh ↔ LPG‑e).</t>
  </si>
  <si>
    <t>5) Check each module Input = Output (material) and the consolidated P&amp;L/payback and flows update automatically.</t>
  </si>
  <si>
    <t xml:space="preserve">• Always keep the original version </t>
  </si>
  <si>
    <t>• kWh ↔ LPG‑e:  LPG‑e = kWh ÷ 7.24719   |   kWh = LPG‑e × 7.24719</t>
  </si>
  <si>
    <t>• CHP accounting: biogas is ENERGY input (~83 LPG‑e/mo); outputs are electricity + heat (ENERGY), not part of material Σ.</t>
  </si>
  <si>
    <t>• Material balance includes water + biomass only</t>
  </si>
  <si>
    <t xml:space="preserve">A brewery production chain - planning sheet, prepared by Kiss, Tibor - Blue Economy Research Center, Hungary, based on the idea of Wildwood Brewery and Zero Emissions Research Institute </t>
  </si>
  <si>
    <t xml:space="preserve">Data for this general model is estimated by AI. </t>
  </si>
  <si>
    <t xml:space="preserve">beer yeast -&gt; bakery (5) </t>
  </si>
  <si>
    <t>beer yeast -&gt; mushroom (25)</t>
  </si>
  <si>
    <t>beer yeast -&gt; digester (14)</t>
  </si>
  <si>
    <t>Used spent barley - &gt; bakery (100)</t>
  </si>
  <si>
    <t>Used spent barley - &gt;  mushroom (620)</t>
  </si>
  <si>
    <t>water - &gt; mushroom (479)</t>
  </si>
  <si>
    <t>water - &gt; Irrigation (6528)</t>
  </si>
  <si>
    <t>(from bekery)  - &gt; heat</t>
  </si>
  <si>
    <t>Heat from brew.</t>
  </si>
  <si>
    <t>Heat from bakry</t>
  </si>
  <si>
    <t>(external spawn supplier) → Spawn</t>
  </si>
  <si>
    <t>heat - &gt; aquaponia (792)</t>
  </si>
  <si>
    <t>heat - &gt; byproduct (1001)</t>
  </si>
  <si>
    <t>(external food-grade) → CO₂ (E290)</t>
  </si>
  <si>
    <t>Vapor/vent (H₂O)  -&gt; natural waste</t>
  </si>
  <si>
    <t>Total electricity input</t>
  </si>
  <si>
    <t>Algae -&gt; heat</t>
  </si>
  <si>
    <t xml:space="preserve">Frass </t>
  </si>
  <si>
    <t>• A compact, monthly model of a closed‑loop system: Brewery → Bakery → Mushroom → Anaerobic Digester (AD) → CHP → Algae → Aquaponia → BSF → Poultry → Vermiculture → Agricultural land.</t>
  </si>
  <si>
    <t>• It keeps a separate (A) MATERIAL ledger (kg/L) and (B) ENERGY ledger - electricity and heat (LPG‑e/kWh) and consolidates into a single Profit &amp; Loss (P&amp;L).</t>
  </si>
  <si>
    <t>• Brewery, Bakery and Agricultural land can be on separate sites, however, it is reasonable to plant Mushroom-AD-CHP-Algae-Aquaponia-BSF-Poultry-Vermiculture on one site (resource exchanges)</t>
  </si>
  <si>
    <t>• Prices are only given for external inputs and for the outputs that leave the system.</t>
  </si>
  <si>
    <t>• Table columns show the quantities the column reveives as inputs</t>
  </si>
  <si>
    <t>• Table rows show the quantities the rows provide as outputs</t>
  </si>
  <si>
    <t>3) What sheets/blocks you will see</t>
  </si>
  <si>
    <t>4) What can you edit? (protected vs editable)</t>
  </si>
  <si>
    <t>5) What is automated?</t>
  </si>
  <si>
    <t>6) Units &amp; accounting rules</t>
  </si>
  <si>
    <t>7) How to use (typical steps)</t>
  </si>
  <si>
    <t>8) Troubleshooting</t>
  </si>
  <si>
    <t>9) Latest changes</t>
  </si>
  <si>
    <t>10) Key factors / quick formulas</t>
  </si>
  <si>
    <t>2) Interpretation of the "Flows" input-output table</t>
  </si>
  <si>
    <t>• General: Bold-italic-14 lettes sizes data indicate original products (electricity, water, CO2, etc., including land products, excludint labour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</si>
</sst>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"/>
    <numFmt numFmtId="165" formatCode="#,##0\ [$€-1]"/>
    <numFmt numFmtId="166" formatCode="0.0"/>
    <numFmt numFmtId="167" formatCode="#,##0.00\ [$€-1]"/>
    <numFmt numFmtId="168" formatCode="#,##0.0\ [$€-1]"/>
    <numFmt numFmtId="169" formatCode="#,##0.0"/>
  </numFmts>
  <fonts count="44" x14ac:knownFonts="1">
    <font>
      <sz val="12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scheme val="minor"/>
    </font>
    <font>
      <i/>
      <sz val="11"/>
      <color rgb="FF000000"/>
      <name val="Calibri"/>
      <family val="2"/>
    </font>
    <font>
      <b/>
      <i/>
      <sz val="14"/>
      <color theme="1"/>
      <name val="Aptos Narrow"/>
      <family val="2"/>
      <charset val="238"/>
      <scheme val="minor"/>
    </font>
    <font>
      <b/>
      <sz val="12"/>
      <color theme="1"/>
      <name val="Aptos Narrow"/>
      <family val="2"/>
      <scheme val="minor"/>
    </font>
    <font>
      <i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b/>
      <i/>
      <sz val="11"/>
      <color rgb="FF000000"/>
      <name val="Calibri"/>
      <family val="2"/>
      <charset val="1"/>
    </font>
    <font>
      <i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i/>
      <sz val="14"/>
      <color theme="1"/>
      <name val="Aptos Narrow"/>
      <scheme val="minor"/>
    </font>
    <font>
      <i/>
      <sz val="12"/>
      <color theme="1"/>
      <name val="Aptos Narrow"/>
      <scheme val="minor"/>
    </font>
    <font>
      <sz val="12"/>
      <color rgb="FF000000"/>
      <name val="Aptos Narrow"/>
      <family val="2"/>
      <charset val="238"/>
      <scheme val="minor"/>
    </font>
    <font>
      <b/>
      <sz val="28"/>
      <color rgb="FF000000"/>
      <name val="Aptos Narrow"/>
      <family val="2"/>
      <scheme val="minor"/>
    </font>
    <font>
      <sz val="28"/>
      <color theme="1"/>
      <name val="Aptos Narrow"/>
      <family val="2"/>
      <scheme val="minor"/>
    </font>
    <font>
      <i/>
      <sz val="24"/>
      <color theme="1"/>
      <name val="Aptos Narrow"/>
      <family val="2"/>
      <scheme val="minor"/>
    </font>
    <font>
      <b/>
      <i/>
      <sz val="11"/>
      <color theme="1"/>
      <name val="Aptos Narrow"/>
      <family val="2"/>
      <charset val="238"/>
      <scheme val="minor"/>
    </font>
    <font>
      <i/>
      <sz val="11"/>
      <color theme="1"/>
      <name val="Aptos Narrow"/>
      <family val="2"/>
      <charset val="238"/>
      <scheme val="minor"/>
    </font>
    <font>
      <i/>
      <sz val="10"/>
      <color theme="1"/>
      <name val="Arial"/>
      <family val="2"/>
      <charset val="238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charset val="238"/>
      <scheme val="minor"/>
    </font>
    <font>
      <b/>
      <i/>
      <sz val="12"/>
      <color theme="1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sz val="14"/>
      <color rgb="FF000000"/>
      <name val="Calibri"/>
      <family val="2"/>
      <charset val="238"/>
    </font>
    <font>
      <sz val="14"/>
      <color rgb="FF000000"/>
      <name val="Aptos Narrow"/>
      <family val="2"/>
      <charset val="238"/>
      <scheme val="minor"/>
    </font>
    <font>
      <sz val="14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2"/>
      <color rgb="FF000000"/>
      <name val="Calibri"/>
      <family val="2"/>
      <charset val="238"/>
    </font>
    <font>
      <sz val="12"/>
      <color theme="1"/>
      <name val="Aptos Narrow"/>
      <scheme val="minor"/>
    </font>
    <font>
      <b/>
      <i/>
      <sz val="20"/>
      <color theme="1"/>
      <name val="Aptos Narrow"/>
      <scheme val="minor"/>
    </font>
    <font>
      <b/>
      <sz val="16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</font>
    <font>
      <b/>
      <i/>
      <sz val="14"/>
      <color theme="1"/>
      <name val="Times New Roman"/>
      <family val="1"/>
    </font>
    <font>
      <i/>
      <sz val="14"/>
      <color theme="1"/>
      <name val="Times New Roman"/>
      <family val="1"/>
    </font>
    <font>
      <b/>
      <i/>
      <sz val="14"/>
      <color rgb="FF000000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C645D"/>
        <bgColor indexed="64"/>
      </patternFill>
    </fill>
    <fill>
      <patternFill patternType="solid">
        <fgColor rgb="FFA9D18E"/>
        <bgColor rgb="FFA9D08E"/>
      </patternFill>
    </fill>
    <fill>
      <patternFill patternType="solid">
        <fgColor rgb="FFF8CBAD"/>
        <bgColor rgb="FFFFCCCC"/>
      </patternFill>
    </fill>
    <fill>
      <patternFill patternType="solid">
        <fgColor rgb="FF8ED973"/>
        <bgColor rgb="FF000000"/>
      </patternFill>
    </fill>
    <fill>
      <patternFill patternType="solid">
        <fgColor rgb="FFDCDB0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68025"/>
        <bgColor indexed="64"/>
      </patternFill>
    </fill>
    <fill>
      <patternFill patternType="solid">
        <fgColor rgb="FF177A26"/>
        <bgColor indexed="64"/>
      </patternFill>
    </fill>
    <fill>
      <patternFill patternType="solid">
        <fgColor rgb="FFA0AAFF"/>
        <bgColor indexed="64"/>
      </patternFill>
    </fill>
    <fill>
      <patternFill patternType="solid">
        <fgColor rgb="FF9F9F9F"/>
        <bgColor indexed="64"/>
      </patternFill>
    </fill>
    <fill>
      <patternFill patternType="solid">
        <fgColor rgb="FFCC9F50"/>
        <bgColor indexed="64"/>
      </patternFill>
    </fill>
    <fill>
      <patternFill patternType="solid">
        <fgColor rgb="FFF4BF5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DD7EE"/>
        <bgColor rgb="FFB4C7E7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rgb="FFE0F1C9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3E2E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F50"/>
        <bgColor rgb="FF000000"/>
      </patternFill>
    </fill>
    <fill>
      <patternFill patternType="solid">
        <fgColor rgb="FFDCDB02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A5A5B"/>
        <bgColor indexed="64"/>
      </patternFill>
    </fill>
    <fill>
      <patternFill patternType="solid">
        <fgColor rgb="FFEFFFC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6933C"/>
        <bgColor rgb="FF000000"/>
      </patternFill>
    </fill>
    <fill>
      <patternFill patternType="solid">
        <fgColor rgb="FFA0AAFF"/>
        <bgColor rgb="FF000000"/>
      </patternFill>
    </fill>
    <fill>
      <patternFill patternType="gray0625"/>
    </fill>
    <fill>
      <patternFill patternType="lightHorizontal"/>
    </fill>
    <fill>
      <patternFill patternType="solid">
        <fgColor theme="7" tint="0.79998168889431442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E2EFDA"/>
        <bgColor rgb="FFE2EFDA"/>
      </patternFill>
    </fill>
    <fill>
      <patternFill patternType="solid">
        <fgColor rgb="FFDDEBF7"/>
        <bgColor rgb="FFDDEBF7"/>
      </patternFill>
    </fill>
    <fill>
      <patternFill patternType="solid">
        <fgColor rgb="FFFFF2CC"/>
        <bgColor rgb="FFFFF2CC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0.79998168889431442"/>
        <bgColor rgb="FFE2EFDA"/>
      </patternFill>
    </fill>
    <fill>
      <patternFill patternType="solid">
        <fgColor theme="3" tint="0.89999084444715716"/>
        <bgColor indexed="64"/>
      </patternFill>
    </fill>
  </fills>
  <borders count="22">
    <border>
      <left/>
      <right/>
      <top/>
      <bottom/>
      <diagonal/>
    </border>
    <border>
      <left style="mediumDashDot">
        <color indexed="64"/>
      </left>
      <right/>
      <top style="mediumDashDot">
        <color indexed="64"/>
      </top>
      <bottom style="medium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">
        <color indexed="64"/>
      </bottom>
      <diagonal/>
    </border>
    <border>
      <left style="mediumDashDot">
        <color indexed="64"/>
      </left>
      <right/>
      <top style="medium">
        <color indexed="64"/>
      </top>
      <bottom style="slantDashDot">
        <color indexed="64"/>
      </bottom>
      <diagonal/>
    </border>
    <border>
      <left/>
      <right style="mediumDashDot">
        <color indexed="64"/>
      </right>
      <top style="medium">
        <color indexed="64"/>
      </top>
      <bottom style="slantDashDot">
        <color indexed="64"/>
      </bottom>
      <diagonal/>
    </border>
    <border>
      <left style="mediumDashDot">
        <color indexed="64"/>
      </left>
      <right/>
      <top/>
      <bottom/>
      <diagonal/>
    </border>
    <border>
      <left style="thin">
        <color indexed="64"/>
      </left>
      <right style="mediumDashDot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DashDot">
        <color indexed="64"/>
      </right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3" xfId="0" applyFont="1" applyFill="1" applyBorder="1"/>
    <xf numFmtId="0" fontId="0" fillId="0" borderId="4" xfId="0" applyBorder="1"/>
    <xf numFmtId="164" fontId="4" fillId="3" borderId="0" xfId="0" applyNumberFormat="1" applyFont="1" applyFill="1" applyAlignment="1">
      <alignment horizontal="left"/>
    </xf>
    <xf numFmtId="0" fontId="5" fillId="0" borderId="5" xfId="0" applyFont="1" applyBorder="1"/>
    <xf numFmtId="165" fontId="5" fillId="0" borderId="6" xfId="0" applyNumberFormat="1" applyFont="1" applyBorder="1"/>
    <xf numFmtId="164" fontId="6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right"/>
    </xf>
    <xf numFmtId="1" fontId="4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3" fillId="2" borderId="0" xfId="0" applyFont="1" applyFill="1"/>
    <xf numFmtId="0" fontId="7" fillId="4" borderId="0" xfId="0" applyFont="1" applyFill="1" applyAlignment="1">
      <alignment horizontal="right"/>
    </xf>
    <xf numFmtId="0" fontId="7" fillId="4" borderId="0" xfId="0" applyFont="1" applyFill="1"/>
    <xf numFmtId="0" fontId="0" fillId="5" borderId="0" xfId="0" applyFill="1"/>
    <xf numFmtId="0" fontId="0" fillId="5" borderId="0" xfId="0" applyFill="1" applyAlignment="1">
      <alignment horizontal="right"/>
    </xf>
    <xf numFmtId="0" fontId="0" fillId="6" borderId="0" xfId="0" applyFill="1"/>
    <xf numFmtId="0" fontId="9" fillId="7" borderId="0" xfId="0" applyFont="1" applyFill="1" applyAlignment="1">
      <alignment horizontal="right"/>
    </xf>
    <xf numFmtId="0" fontId="0" fillId="8" borderId="0" xfId="0" applyFill="1"/>
    <xf numFmtId="0" fontId="10" fillId="2" borderId="0" xfId="0" applyFont="1" applyFill="1"/>
    <xf numFmtId="0" fontId="11" fillId="9" borderId="0" xfId="0" applyFont="1" applyFill="1" applyAlignment="1">
      <alignment horizontal="right"/>
    </xf>
    <xf numFmtId="0" fontId="13" fillId="10" borderId="0" xfId="0" applyFont="1" applyFill="1" applyAlignment="1">
      <alignment horizontal="center" vertical="center" wrapText="1"/>
    </xf>
    <xf numFmtId="0" fontId="14" fillId="11" borderId="7" xfId="0" applyFont="1" applyFill="1" applyBorder="1" applyAlignment="1">
      <alignment horizontal="center" vertical="center" wrapText="1"/>
    </xf>
    <xf numFmtId="0" fontId="15" fillId="0" borderId="0" xfId="0" applyFont="1"/>
    <xf numFmtId="0" fontId="16" fillId="12" borderId="0" xfId="0" applyFont="1" applyFill="1" applyAlignment="1">
      <alignment horizontal="center"/>
    </xf>
    <xf numFmtId="164" fontId="0" fillId="0" borderId="0" xfId="0" applyNumberFormat="1" applyAlignment="1">
      <alignment horizontal="right"/>
    </xf>
    <xf numFmtId="0" fontId="8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7" fillId="0" borderId="0" xfId="0" applyFont="1"/>
    <xf numFmtId="0" fontId="16" fillId="13" borderId="0" xfId="0" applyFont="1" applyFill="1" applyAlignment="1">
      <alignment horizontal="center"/>
    </xf>
    <xf numFmtId="2" fontId="0" fillId="0" borderId="0" xfId="0" applyNumberFormat="1"/>
    <xf numFmtId="166" fontId="0" fillId="0" borderId="0" xfId="0" applyNumberFormat="1" applyAlignment="1">
      <alignment horizontal="right"/>
    </xf>
    <xf numFmtId="167" fontId="0" fillId="0" borderId="0" xfId="0" applyNumberFormat="1" applyAlignment="1">
      <alignment horizontal="right"/>
    </xf>
    <xf numFmtId="168" fontId="0" fillId="0" borderId="0" xfId="0" applyNumberFormat="1" applyAlignment="1">
      <alignment horizontal="right"/>
    </xf>
    <xf numFmtId="0" fontId="8" fillId="0" borderId="0" xfId="0" applyFont="1"/>
    <xf numFmtId="0" fontId="11" fillId="0" borderId="0" xfId="0" applyFont="1" applyAlignment="1">
      <alignment horizontal="right"/>
    </xf>
    <xf numFmtId="0" fontId="13" fillId="14" borderId="0" xfId="0" applyFont="1" applyFill="1" applyAlignment="1">
      <alignment horizontal="center" vertical="center" wrapText="1"/>
    </xf>
    <xf numFmtId="0" fontId="13" fillId="15" borderId="7" xfId="0" applyFont="1" applyFill="1" applyBorder="1" applyAlignment="1">
      <alignment horizontal="center" vertical="center" wrapText="1"/>
    </xf>
    <xf numFmtId="0" fontId="13" fillId="16" borderId="7" xfId="0" applyFont="1" applyFill="1" applyBorder="1" applyAlignment="1">
      <alignment horizontal="center" vertical="center" wrapText="1"/>
    </xf>
    <xf numFmtId="0" fontId="12" fillId="17" borderId="7" xfId="0" applyFont="1" applyFill="1" applyBorder="1" applyAlignment="1">
      <alignment horizontal="center" vertical="center" wrapText="1"/>
    </xf>
    <xf numFmtId="0" fontId="13" fillId="18" borderId="7" xfId="0" applyFont="1" applyFill="1" applyBorder="1" applyAlignment="1">
      <alignment horizontal="center" vertical="center" wrapText="1"/>
    </xf>
    <xf numFmtId="0" fontId="18" fillId="0" borderId="0" xfId="0" applyFont="1"/>
    <xf numFmtId="0" fontId="13" fillId="19" borderId="7" xfId="0" applyFont="1" applyFill="1" applyBorder="1" applyAlignment="1">
      <alignment horizontal="center" vertical="center" wrapText="1"/>
    </xf>
    <xf numFmtId="0" fontId="13" fillId="20" borderId="0" xfId="0" applyFont="1" applyFill="1" applyAlignment="1">
      <alignment horizontal="center" vertical="center" wrapText="1"/>
    </xf>
    <xf numFmtId="0" fontId="13" fillId="21" borderId="7" xfId="0" applyFont="1" applyFill="1" applyBorder="1" applyAlignment="1">
      <alignment horizontal="center" vertical="center" wrapText="1"/>
    </xf>
    <xf numFmtId="0" fontId="13" fillId="22" borderId="0" xfId="0" applyFont="1" applyFill="1" applyAlignment="1">
      <alignment horizontal="center" vertical="center" wrapText="1"/>
    </xf>
    <xf numFmtId="0" fontId="0" fillId="0" borderId="11" xfId="0" applyBorder="1"/>
    <xf numFmtId="0" fontId="0" fillId="0" borderId="12" xfId="0" applyBorder="1"/>
    <xf numFmtId="165" fontId="0" fillId="0" borderId="0" xfId="0" applyNumberFormat="1"/>
    <xf numFmtId="0" fontId="5" fillId="0" borderId="11" xfId="0" applyFont="1" applyBorder="1"/>
    <xf numFmtId="165" fontId="5" fillId="0" borderId="0" xfId="0" applyNumberFormat="1" applyFont="1"/>
    <xf numFmtId="0" fontId="5" fillId="0" borderId="0" xfId="0" applyFont="1"/>
    <xf numFmtId="165" fontId="2" fillId="0" borderId="0" xfId="0" applyNumberFormat="1" applyFont="1"/>
    <xf numFmtId="0" fontId="0" fillId="0" borderId="13" xfId="0" applyBorder="1"/>
    <xf numFmtId="0" fontId="0" fillId="0" borderId="14" xfId="0" applyBorder="1"/>
    <xf numFmtId="0" fontId="22" fillId="24" borderId="0" xfId="0" applyFont="1" applyFill="1"/>
    <xf numFmtId="0" fontId="23" fillId="25" borderId="0" xfId="0" applyFont="1" applyFill="1"/>
    <xf numFmtId="0" fontId="22" fillId="12" borderId="0" xfId="0" applyFont="1" applyFill="1"/>
    <xf numFmtId="0" fontId="24" fillId="26" borderId="0" xfId="0" applyFont="1" applyFill="1" applyAlignment="1">
      <alignment horizontal="right"/>
    </xf>
    <xf numFmtId="0" fontId="22" fillId="13" borderId="0" xfId="0" applyFont="1" applyFill="1"/>
    <xf numFmtId="0" fontId="2" fillId="13" borderId="0" xfId="0" applyFont="1" applyFill="1"/>
    <xf numFmtId="0" fontId="0" fillId="13" borderId="0" xfId="0" applyFill="1"/>
    <xf numFmtId="0" fontId="23" fillId="27" borderId="16" xfId="0" applyFont="1" applyFill="1" applyBorder="1" applyAlignment="1">
      <alignment horizontal="right"/>
    </xf>
    <xf numFmtId="0" fontId="26" fillId="5" borderId="0" xfId="0" applyFont="1" applyFill="1"/>
    <xf numFmtId="0" fontId="22" fillId="28" borderId="0" xfId="0" applyFont="1" applyFill="1"/>
    <xf numFmtId="0" fontId="0" fillId="28" borderId="0" xfId="0" applyFill="1"/>
    <xf numFmtId="0" fontId="2" fillId="28" borderId="0" xfId="0" applyFont="1" applyFill="1"/>
    <xf numFmtId="0" fontId="23" fillId="29" borderId="0" xfId="0" applyFont="1" applyFill="1" applyAlignment="1">
      <alignment horizontal="right"/>
    </xf>
    <xf numFmtId="0" fontId="0" fillId="22" borderId="0" xfId="0" applyFill="1"/>
    <xf numFmtId="0" fontId="0" fillId="30" borderId="0" xfId="0" applyFill="1"/>
    <xf numFmtId="0" fontId="25" fillId="0" borderId="0" xfId="0" applyFont="1"/>
    <xf numFmtId="0" fontId="0" fillId="5" borderId="17" xfId="0" applyFill="1" applyBorder="1" applyAlignment="1">
      <alignment horizontal="right"/>
    </xf>
    <xf numFmtId="0" fontId="7" fillId="25" borderId="0" xfId="0" applyFont="1" applyFill="1"/>
    <xf numFmtId="0" fontId="12" fillId="5" borderId="0" xfId="0" applyFont="1" applyFill="1"/>
    <xf numFmtId="0" fontId="27" fillId="3" borderId="0" xfId="0" applyFont="1" applyFill="1"/>
    <xf numFmtId="0" fontId="2" fillId="4" borderId="18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9" xfId="0" applyFont="1" applyFill="1" applyBorder="1" applyAlignment="1">
      <alignment horizontal="center"/>
    </xf>
    <xf numFmtId="165" fontId="0" fillId="0" borderId="18" xfId="0" applyNumberFormat="1" applyBorder="1"/>
    <xf numFmtId="165" fontId="22" fillId="12" borderId="18" xfId="0" applyNumberFormat="1" applyFont="1" applyFill="1" applyBorder="1"/>
    <xf numFmtId="165" fontId="22" fillId="12" borderId="0" xfId="0" applyNumberFormat="1" applyFont="1" applyFill="1"/>
    <xf numFmtId="165" fontId="5" fillId="0" borderId="20" xfId="0" applyNumberFormat="1" applyFont="1" applyBorder="1"/>
    <xf numFmtId="165" fontId="0" fillId="0" borderId="12" xfId="0" applyNumberFormat="1" applyBorder="1"/>
    <xf numFmtId="0" fontId="0" fillId="0" borderId="15" xfId="0" applyBorder="1"/>
    <xf numFmtId="167" fontId="0" fillId="0" borderId="0" xfId="0" applyNumberFormat="1"/>
    <xf numFmtId="0" fontId="14" fillId="11" borderId="7" xfId="0" applyFont="1" applyFill="1" applyBorder="1" applyAlignment="1">
      <alignment horizontal="left" vertical="center" wrapText="1"/>
    </xf>
    <xf numFmtId="0" fontId="13" fillId="10" borderId="0" xfId="0" applyFont="1" applyFill="1" applyAlignment="1">
      <alignment horizontal="left" vertical="center" wrapText="1"/>
    </xf>
    <xf numFmtId="0" fontId="13" fillId="14" borderId="0" xfId="0" applyFont="1" applyFill="1" applyAlignment="1">
      <alignment horizontal="left" vertical="center" wrapText="1"/>
    </xf>
    <xf numFmtId="0" fontId="13" fillId="16" borderId="7" xfId="0" applyFont="1" applyFill="1" applyBorder="1" applyAlignment="1">
      <alignment horizontal="left" vertical="center" wrapText="1"/>
    </xf>
    <xf numFmtId="0" fontId="13" fillId="18" borderId="7" xfId="0" applyFont="1" applyFill="1" applyBorder="1" applyAlignment="1">
      <alignment horizontal="left" vertical="center" wrapText="1"/>
    </xf>
    <xf numFmtId="0" fontId="13" fillId="17" borderId="7" xfId="0" applyFont="1" applyFill="1" applyBorder="1" applyAlignment="1">
      <alignment horizontal="left" vertical="center" wrapText="1"/>
    </xf>
    <xf numFmtId="0" fontId="28" fillId="31" borderId="0" xfId="0" applyFont="1" applyFill="1" applyAlignment="1">
      <alignment horizontal="left" vertical="center" wrapText="1"/>
    </xf>
    <xf numFmtId="0" fontId="13" fillId="21" borderId="7" xfId="0" applyFont="1" applyFill="1" applyBorder="1" applyAlignment="1">
      <alignment horizontal="left" vertical="center" wrapText="1"/>
    </xf>
    <xf numFmtId="0" fontId="13" fillId="22" borderId="0" xfId="0" applyFont="1" applyFill="1" applyAlignment="1">
      <alignment horizontal="left" vertical="center" wrapText="1"/>
    </xf>
    <xf numFmtId="0" fontId="29" fillId="11" borderId="7" xfId="0" applyFont="1" applyFill="1" applyBorder="1" applyAlignment="1">
      <alignment horizontal="left" vertical="center" wrapText="1"/>
    </xf>
    <xf numFmtId="0" fontId="30" fillId="32" borderId="0" xfId="0" applyFont="1" applyFill="1" applyAlignment="1">
      <alignment horizontal="left" vertical="center" wrapText="1"/>
    </xf>
    <xf numFmtId="1" fontId="0" fillId="3" borderId="0" xfId="0" applyNumberFormat="1" applyFill="1"/>
    <xf numFmtId="1" fontId="2" fillId="3" borderId="0" xfId="0" applyNumberFormat="1" applyFont="1" applyFill="1"/>
    <xf numFmtId="165" fontId="0" fillId="5" borderId="0" xfId="0" applyNumberFormat="1" applyFill="1"/>
    <xf numFmtId="165" fontId="0" fillId="13" borderId="0" xfId="0" applyNumberFormat="1" applyFill="1"/>
    <xf numFmtId="165" fontId="0" fillId="29" borderId="0" xfId="0" applyNumberFormat="1" applyFill="1"/>
    <xf numFmtId="165" fontId="0" fillId="27" borderId="0" xfId="0" applyNumberFormat="1" applyFill="1"/>
    <xf numFmtId="165" fontId="0" fillId="33" borderId="0" xfId="0" applyNumberFormat="1" applyFill="1"/>
    <xf numFmtId="0" fontId="5" fillId="0" borderId="14" xfId="0" applyFont="1" applyBorder="1"/>
    <xf numFmtId="0" fontId="0" fillId="0" borderId="0" xfId="0" applyAlignment="1">
      <alignment vertical="center" wrapText="1"/>
    </xf>
    <xf numFmtId="0" fontId="12" fillId="34" borderId="0" xfId="0" applyFont="1" applyFill="1" applyAlignment="1">
      <alignment horizontal="center" vertical="center" wrapText="1"/>
    </xf>
    <xf numFmtId="0" fontId="12" fillId="35" borderId="0" xfId="0" applyFont="1" applyFill="1" applyAlignment="1">
      <alignment horizontal="center" vertical="center" wrapText="1"/>
    </xf>
    <xf numFmtId="0" fontId="12" fillId="36" borderId="0" xfId="0" applyFont="1" applyFill="1" applyAlignment="1">
      <alignment horizontal="center" vertical="center" wrapText="1"/>
    </xf>
    <xf numFmtId="0" fontId="12" fillId="37" borderId="0" xfId="0" applyFont="1" applyFill="1" applyAlignment="1">
      <alignment horizontal="center" vertical="center" wrapText="1"/>
    </xf>
    <xf numFmtId="0" fontId="0" fillId="22" borderId="0" xfId="0" applyFill="1" applyAlignment="1">
      <alignment horizontal="center" vertical="center" wrapText="1"/>
    </xf>
    <xf numFmtId="0" fontId="13" fillId="13" borderId="7" xfId="0" applyFont="1" applyFill="1" applyBorder="1" applyAlignment="1">
      <alignment horizontal="center" vertical="center" wrapText="1"/>
    </xf>
    <xf numFmtId="0" fontId="0" fillId="13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4" borderId="0" xfId="0" applyFill="1" applyAlignment="1">
      <alignment horizontal="center" vertical="center" wrapText="1"/>
    </xf>
    <xf numFmtId="0" fontId="0" fillId="15" borderId="0" xfId="0" applyFill="1" applyAlignment="1">
      <alignment horizontal="center" vertical="center" wrapText="1"/>
    </xf>
    <xf numFmtId="0" fontId="0" fillId="18" borderId="0" xfId="0" applyFill="1" applyAlignment="1">
      <alignment horizontal="center" vertical="center" wrapText="1"/>
    </xf>
    <xf numFmtId="0" fontId="0" fillId="19" borderId="0" xfId="0" applyFill="1" applyAlignment="1">
      <alignment horizontal="center" vertical="center" wrapText="1"/>
    </xf>
    <xf numFmtId="0" fontId="0" fillId="20" borderId="0" xfId="0" applyFill="1" applyAlignment="1">
      <alignment horizontal="center" vertical="center" wrapText="1"/>
    </xf>
    <xf numFmtId="0" fontId="0" fillId="21" borderId="0" xfId="0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0" fillId="16" borderId="0" xfId="0" applyFill="1"/>
    <xf numFmtId="0" fontId="0" fillId="13" borderId="0" xfId="0" applyFill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0" fillId="10" borderId="0" xfId="0" applyFill="1"/>
    <xf numFmtId="0" fontId="0" fillId="16" borderId="0" xfId="0" applyFill="1" applyAlignment="1">
      <alignment horizontal="left" vertical="center" wrapText="1"/>
    </xf>
    <xf numFmtId="0" fontId="32" fillId="38" borderId="0" xfId="0" applyFont="1" applyFill="1"/>
    <xf numFmtId="0" fontId="12" fillId="37" borderId="0" xfId="0" applyFont="1" applyFill="1"/>
    <xf numFmtId="0" fontId="32" fillId="39" borderId="0" xfId="0" applyFont="1" applyFill="1"/>
    <xf numFmtId="0" fontId="13" fillId="22" borderId="0" xfId="0" applyFont="1" applyFill="1" applyAlignment="1">
      <alignment horizontal="center" vertical="top"/>
    </xf>
    <xf numFmtId="0" fontId="12" fillId="22" borderId="0" xfId="0" applyFont="1" applyFill="1"/>
    <xf numFmtId="0" fontId="12" fillId="0" borderId="0" xfId="0" applyFont="1"/>
    <xf numFmtId="0" fontId="13" fillId="13" borderId="7" xfId="0" applyFont="1" applyFill="1" applyBorder="1" applyAlignment="1">
      <alignment horizontal="center" vertical="top"/>
    </xf>
    <xf numFmtId="0" fontId="13" fillId="10" borderId="0" xfId="0" applyFont="1" applyFill="1" applyAlignment="1">
      <alignment horizontal="center" vertical="top"/>
    </xf>
    <xf numFmtId="0" fontId="13" fillId="14" borderId="0" xfId="0" applyFont="1" applyFill="1" applyAlignment="1">
      <alignment horizontal="center" vertical="top"/>
    </xf>
    <xf numFmtId="0" fontId="0" fillId="14" borderId="0" xfId="0" applyFill="1"/>
    <xf numFmtId="0" fontId="13" fillId="15" borderId="7" xfId="0" applyFont="1" applyFill="1" applyBorder="1" applyAlignment="1">
      <alignment horizontal="center" vertical="top"/>
    </xf>
    <xf numFmtId="0" fontId="0" fillId="15" borderId="0" xfId="0" applyFill="1"/>
    <xf numFmtId="0" fontId="13" fillId="18" borderId="7" xfId="0" applyFont="1" applyFill="1" applyBorder="1" applyAlignment="1">
      <alignment horizontal="center" vertical="top"/>
    </xf>
    <xf numFmtId="0" fontId="0" fillId="18" borderId="0" xfId="0" applyFill="1"/>
    <xf numFmtId="0" fontId="13" fillId="19" borderId="7" xfId="0" applyFont="1" applyFill="1" applyBorder="1" applyAlignment="1">
      <alignment horizontal="center" vertical="top"/>
    </xf>
    <xf numFmtId="0" fontId="0" fillId="19" borderId="0" xfId="0" applyFill="1"/>
    <xf numFmtId="0" fontId="13" fillId="20" borderId="0" xfId="0" applyFont="1" applyFill="1" applyAlignment="1">
      <alignment horizontal="center" vertical="top"/>
    </xf>
    <xf numFmtId="0" fontId="0" fillId="20" borderId="0" xfId="0" applyFill="1"/>
    <xf numFmtId="0" fontId="13" fillId="21" borderId="7" xfId="0" applyFont="1" applyFill="1" applyBorder="1" applyAlignment="1">
      <alignment horizontal="center" vertical="top"/>
    </xf>
    <xf numFmtId="0" fontId="0" fillId="21" borderId="0" xfId="0" applyFill="1"/>
    <xf numFmtId="0" fontId="12" fillId="40" borderId="7" xfId="0" applyFont="1" applyFill="1" applyBorder="1" applyAlignment="1">
      <alignment horizontal="center" vertical="top"/>
    </xf>
    <xf numFmtId="0" fontId="2" fillId="40" borderId="0" xfId="0" applyFont="1" applyFill="1"/>
    <xf numFmtId="0" fontId="12" fillId="0" borderId="7" xfId="0" applyFont="1" applyBorder="1" applyAlignment="1">
      <alignment horizontal="center" vertical="top"/>
    </xf>
    <xf numFmtId="0" fontId="2" fillId="41" borderId="0" xfId="0" applyFont="1" applyFill="1"/>
    <xf numFmtId="0" fontId="12" fillId="34" borderId="7" xfId="0" applyFont="1" applyFill="1" applyBorder="1" applyAlignment="1">
      <alignment horizontal="center" vertical="top"/>
    </xf>
    <xf numFmtId="0" fontId="5" fillId="34" borderId="0" xfId="0" applyFont="1" applyFill="1"/>
    <xf numFmtId="0" fontId="33" fillId="0" borderId="0" xfId="0" applyFont="1"/>
    <xf numFmtId="0" fontId="0" fillId="34" borderId="7" xfId="0" applyFill="1" applyBorder="1" applyAlignment="1">
      <alignment horizontal="left" vertical="top"/>
    </xf>
    <xf numFmtId="0" fontId="12" fillId="36" borderId="7" xfId="0" applyFont="1" applyFill="1" applyBorder="1" applyAlignment="1">
      <alignment horizontal="center" vertical="top"/>
    </xf>
    <xf numFmtId="0" fontId="0" fillId="36" borderId="7" xfId="0" applyFill="1" applyBorder="1" applyAlignment="1">
      <alignment horizontal="left" vertical="top"/>
    </xf>
    <xf numFmtId="0" fontId="12" fillId="37" borderId="7" xfId="0" applyFont="1" applyFill="1" applyBorder="1" applyAlignment="1">
      <alignment horizontal="center" vertical="top"/>
    </xf>
    <xf numFmtId="0" fontId="0" fillId="37" borderId="7" xfId="0" applyFill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34" fillId="0" borderId="0" xfId="0" applyFont="1"/>
    <xf numFmtId="0" fontId="35" fillId="11" borderId="7" xfId="0" applyFont="1" applyFill="1" applyBorder="1" applyAlignment="1">
      <alignment horizontal="left" vertical="center" wrapText="1"/>
    </xf>
    <xf numFmtId="0" fontId="18" fillId="32" borderId="0" xfId="0" applyFont="1" applyFill="1" applyAlignment="1">
      <alignment horizontal="left" vertical="center" wrapText="1"/>
    </xf>
    <xf numFmtId="0" fontId="36" fillId="14" borderId="0" xfId="0" applyFont="1" applyFill="1" applyAlignment="1">
      <alignment horizontal="left" vertical="center" wrapText="1"/>
    </xf>
    <xf numFmtId="0" fontId="37" fillId="0" borderId="0" xfId="0" applyFont="1"/>
    <xf numFmtId="164" fontId="6" fillId="42" borderId="0" xfId="0" applyNumberFormat="1" applyFont="1" applyFill="1" applyAlignment="1">
      <alignment horizontal="left"/>
    </xf>
    <xf numFmtId="0" fontId="0" fillId="42" borderId="0" xfId="0" applyFill="1" applyProtection="1">
      <protection locked="0"/>
    </xf>
    <xf numFmtId="0" fontId="15" fillId="42" borderId="0" xfId="0" applyFont="1" applyFill="1" applyProtection="1">
      <protection locked="0"/>
    </xf>
    <xf numFmtId="165" fontId="5" fillId="42" borderId="0" xfId="0" applyNumberFormat="1" applyFont="1" applyFill="1" applyProtection="1">
      <protection locked="0"/>
    </xf>
    <xf numFmtId="167" fontId="5" fillId="42" borderId="0" xfId="0" applyNumberFormat="1" applyFont="1" applyFill="1" applyProtection="1">
      <protection locked="0"/>
    </xf>
    <xf numFmtId="167" fontId="5" fillId="42" borderId="14" xfId="0" applyNumberFormat="1" applyFont="1" applyFill="1" applyBorder="1" applyProtection="1">
      <protection locked="0"/>
    </xf>
    <xf numFmtId="167" fontId="5" fillId="42" borderId="12" xfId="0" applyNumberFormat="1" applyFont="1" applyFill="1" applyBorder="1" applyProtection="1">
      <protection locked="0"/>
    </xf>
    <xf numFmtId="165" fontId="0" fillId="42" borderId="0" xfId="0" applyNumberFormat="1" applyFill="1" applyProtection="1">
      <protection locked="0"/>
    </xf>
    <xf numFmtId="165" fontId="16" fillId="0" borderId="0" xfId="0" applyNumberFormat="1" applyFont="1"/>
    <xf numFmtId="169" fontId="5" fillId="0" borderId="0" xfId="0" applyNumberFormat="1" applyFont="1"/>
    <xf numFmtId="0" fontId="40" fillId="0" borderId="0" xfId="0" applyFont="1"/>
    <xf numFmtId="0" fontId="39" fillId="0" borderId="21" xfId="0" applyFont="1" applyBorder="1" applyAlignment="1">
      <alignment vertical="center" wrapText="1"/>
    </xf>
    <xf numFmtId="0" fontId="40" fillId="0" borderId="21" xfId="0" applyFont="1" applyBorder="1"/>
    <xf numFmtId="0" fontId="39" fillId="46" borderId="21" xfId="0" applyFont="1" applyFill="1" applyBorder="1" applyAlignment="1">
      <alignment vertical="top" wrapText="1"/>
    </xf>
    <xf numFmtId="0" fontId="40" fillId="0" borderId="21" xfId="0" applyFont="1" applyBorder="1" applyAlignment="1">
      <alignment vertical="top" wrapText="1"/>
    </xf>
    <xf numFmtId="0" fontId="39" fillId="45" borderId="21" xfId="0" applyFont="1" applyFill="1" applyBorder="1" applyAlignment="1">
      <alignment vertical="center" wrapText="1"/>
    </xf>
    <xf numFmtId="0" fontId="40" fillId="45" borderId="21" xfId="0" applyFont="1" applyFill="1" applyBorder="1"/>
    <xf numFmtId="0" fontId="38" fillId="43" borderId="0" xfId="0" applyFont="1" applyFill="1" applyAlignment="1">
      <alignment horizontal="center" vertical="center" wrapText="1"/>
    </xf>
    <xf numFmtId="0" fontId="40" fillId="0" borderId="0" xfId="0" applyFont="1"/>
    <xf numFmtId="0" fontId="39" fillId="44" borderId="21" xfId="0" applyFont="1" applyFill="1" applyBorder="1" applyAlignment="1">
      <alignment vertical="center" wrapText="1"/>
    </xf>
    <xf numFmtId="0" fontId="40" fillId="44" borderId="21" xfId="0" applyFont="1" applyFill="1" applyBorder="1"/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19" fillId="23" borderId="8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3" fillId="2" borderId="11" xfId="0" applyFont="1" applyFill="1" applyBorder="1"/>
    <xf numFmtId="0" fontId="0" fillId="0" borderId="0" xfId="0"/>
    <xf numFmtId="0" fontId="3" fillId="2" borderId="0" xfId="0" applyFont="1" applyFill="1"/>
    <xf numFmtId="0" fontId="0" fillId="0" borderId="12" xfId="0" applyBorder="1"/>
    <xf numFmtId="0" fontId="0" fillId="47" borderId="0" xfId="0" applyFill="1"/>
    <xf numFmtId="0" fontId="0" fillId="17" borderId="0" xfId="0" applyFill="1" applyAlignment="1">
      <alignment horizontal="center" vertical="center" wrapText="1"/>
    </xf>
    <xf numFmtId="0" fontId="13" fillId="17" borderId="7" xfId="0" applyFont="1" applyFill="1" applyBorder="1" applyAlignment="1">
      <alignment horizontal="center" vertical="top"/>
    </xf>
    <xf numFmtId="0" fontId="0" fillId="17" borderId="0" xfId="0" applyFill="1"/>
    <xf numFmtId="0" fontId="0" fillId="0" borderId="0" xfId="0" applyAlignment="1">
      <alignment vertical="center"/>
    </xf>
    <xf numFmtId="0" fontId="21" fillId="42" borderId="0" xfId="0" applyFont="1" applyFill="1" applyAlignment="1"/>
    <xf numFmtId="0" fontId="0" fillId="0" borderId="0" xfId="0" applyAlignment="1"/>
    <xf numFmtId="0" fontId="0" fillId="0" borderId="0" xfId="0" applyFill="1" applyProtection="1"/>
    <xf numFmtId="0" fontId="41" fillId="22" borderId="0" xfId="0" applyFont="1" applyFill="1"/>
    <xf numFmtId="0" fontId="15" fillId="0" borderId="0" xfId="0" applyFont="1" applyFill="1" applyProtection="1"/>
    <xf numFmtId="0" fontId="15" fillId="0" borderId="16" xfId="0" applyFont="1" applyFill="1" applyBorder="1" applyProtection="1"/>
    <xf numFmtId="0" fontId="41" fillId="36" borderId="0" xfId="0" applyFont="1" applyFill="1"/>
    <xf numFmtId="0" fontId="41" fillId="34" borderId="0" xfId="0" applyFont="1" applyFill="1"/>
    <xf numFmtId="0" fontId="41" fillId="37" borderId="0" xfId="0" applyFont="1" applyFill="1"/>
    <xf numFmtId="0" fontId="41" fillId="0" borderId="0" xfId="0" applyFont="1"/>
    <xf numFmtId="0" fontId="42" fillId="0" borderId="0" xfId="0" applyFont="1"/>
    <xf numFmtId="0" fontId="40" fillId="0" borderId="0" xfId="0" applyFont="1" applyBorder="1" applyAlignment="1">
      <alignment vertical="top" wrapText="1"/>
    </xf>
    <xf numFmtId="0" fontId="40" fillId="0" borderId="0" xfId="0" applyFont="1" applyBorder="1"/>
    <xf numFmtId="0" fontId="39" fillId="48" borderId="21" xfId="0" applyFont="1" applyFill="1" applyBorder="1" applyAlignment="1">
      <alignment vertical="center" wrapText="1"/>
    </xf>
    <xf numFmtId="0" fontId="40" fillId="48" borderId="21" xfId="0" applyFont="1" applyFill="1" applyBorder="1"/>
    <xf numFmtId="0" fontId="41" fillId="0" borderId="0" xfId="0" applyFont="1" applyFill="1" applyProtection="1"/>
    <xf numFmtId="0" fontId="41" fillId="42" borderId="0" xfId="0" applyFont="1" applyFill="1" applyProtection="1">
      <protection locked="0"/>
    </xf>
    <xf numFmtId="0" fontId="43" fillId="42" borderId="0" xfId="0" applyFont="1" applyFill="1" applyProtection="1">
      <protection locked="0"/>
    </xf>
    <xf numFmtId="0" fontId="39" fillId="49" borderId="21" xfId="0" applyFont="1" applyFill="1" applyBorder="1" applyAlignment="1">
      <alignment vertical="center" wrapText="1"/>
    </xf>
    <xf numFmtId="0" fontId="40" fillId="49" borderId="21" xfId="0" applyFont="1" applyFill="1" applyBorder="1"/>
    <xf numFmtId="0" fontId="39" fillId="13" borderId="21" xfId="0" applyFont="1" applyFill="1" applyBorder="1" applyAlignment="1">
      <alignment vertical="center" wrapText="1"/>
    </xf>
    <xf numFmtId="0" fontId="40" fillId="13" borderId="21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177A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663222</xdr:colOff>
      <xdr:row>11</xdr:row>
      <xdr:rowOff>0</xdr:rowOff>
    </xdr:from>
    <xdr:to>
      <xdr:col>87</xdr:col>
      <xdr:colOff>430289</xdr:colOff>
      <xdr:row>66</xdr:row>
      <xdr:rowOff>52212</xdr:rowOff>
    </xdr:to>
    <xdr:pic>
      <xdr:nvPicPr>
        <xdr:cNvPr id="33" name="Kép 32">
          <a:extLst>
            <a:ext uri="{FF2B5EF4-FFF2-40B4-BE49-F238E27FC236}">
              <a16:creationId xmlns:a16="http://schemas.microsoft.com/office/drawing/2014/main" id="{0172DA7B-7F93-6B44-B761-F79E1C5E6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27222" y="6019800"/>
          <a:ext cx="9190467" cy="129046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t/SynologyDrive/Work/7.%20Projektek/P_OTKA/Brewery/IO_brewery.xlsx" TargetMode="External"/><Relationship Id="rId1" Type="http://schemas.openxmlformats.org/officeDocument/2006/relationships/externalLinkPath" Target="IO_brew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</sheetNames>
    <sheetDataSet>
      <sheetData sheetId="0">
        <row r="29">
          <cell r="AL29">
            <v>83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T" id="{DDDAC40A-7A83-8149-98E3-294AEC08EFE7}" userId="KT" providerId="None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M26" dT="2025-08-16T09:32:40.99" personId="{DDDAC40A-7A83-8149-98E3-294AEC08EFE7}" id="{E1BF2A3C-BFC3-CA49-911D-9ED98C444EC6}">
    <text>with daylight help</text>
  </threadedComment>
  <threadedComment ref="D78" dT="2025-08-16T05:42:28.36" personId="{DDDAC40A-7A83-8149-98E3-294AEC08EFE7}" id="{15A09C2C-379A-7043-929A-A0C42DF7E13F}">
    <text>the mill is cost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N17" dT="2025-08-13T19:23:03.08" personId="{DDDAC40A-7A83-8149-98E3-294AEC08EFE7}" id="{7321183A-00F3-944C-AB88-756A248C2E1D}">
    <text>flour</text>
  </threadedComment>
  <threadedComment ref="B49" dT="2025-08-12T10:36:28.95" personId="{DDDAC40A-7A83-8149-98E3-294AEC08EFE7}" id="{9D14DC64-9A76-1340-8FAD-EC00D2A67812}">
    <text>42 - brewery, 84 - algae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283E0-DF5C-3B44-8C84-F93D4655DFE8}">
  <dimension ref="A1:D49"/>
  <sheetViews>
    <sheetView tabSelected="1" workbookViewId="0">
      <selection activeCell="A12" sqref="A12:D12"/>
    </sheetView>
  </sheetViews>
  <sheetFormatPr baseColWidth="10" defaultColWidth="8.83203125" defaultRowHeight="15" x14ac:dyDescent="0.2"/>
  <cols>
    <col min="1" max="1" width="18" style="175" customWidth="1"/>
    <col min="2" max="3" width="42" style="175" customWidth="1"/>
    <col min="4" max="4" width="54.5" style="175" customWidth="1"/>
    <col min="5" max="5" width="20" style="175" customWidth="1"/>
    <col min="6" max="16384" width="8.83203125" style="175"/>
  </cols>
  <sheetData>
    <row r="1" spans="1:4" x14ac:dyDescent="0.2">
      <c r="A1" s="182" t="s">
        <v>323</v>
      </c>
      <c r="B1" s="183"/>
      <c r="C1" s="183"/>
      <c r="D1" s="183"/>
    </row>
    <row r="3" spans="1:4" x14ac:dyDescent="0.2">
      <c r="A3" s="184" t="s">
        <v>324</v>
      </c>
      <c r="B3" s="185"/>
      <c r="C3" s="185"/>
      <c r="D3" s="185"/>
    </row>
    <row r="4" spans="1:4" ht="15" customHeight="1" x14ac:dyDescent="0.2">
      <c r="A4" s="179" t="s">
        <v>366</v>
      </c>
      <c r="B4" s="177"/>
      <c r="C4" s="177"/>
      <c r="D4" s="177"/>
    </row>
    <row r="5" spans="1:4" ht="15" customHeight="1" x14ac:dyDescent="0.2">
      <c r="A5" s="179" t="s">
        <v>367</v>
      </c>
      <c r="B5" s="177"/>
      <c r="C5" s="177"/>
      <c r="D5" s="177"/>
    </row>
    <row r="6" spans="1:4" ht="15" customHeight="1" x14ac:dyDescent="0.2">
      <c r="A6" s="179" t="s">
        <v>368</v>
      </c>
      <c r="B6" s="177"/>
      <c r="C6" s="177"/>
      <c r="D6" s="177"/>
    </row>
    <row r="7" spans="1:4" ht="15" customHeight="1" x14ac:dyDescent="0.2">
      <c r="A7" s="179" t="s">
        <v>369</v>
      </c>
      <c r="B7" s="177"/>
      <c r="C7" s="177"/>
      <c r="D7" s="177"/>
    </row>
    <row r="8" spans="1:4" x14ac:dyDescent="0.2">
      <c r="A8" s="211"/>
      <c r="B8" s="212"/>
      <c r="C8" s="212"/>
      <c r="D8" s="212"/>
    </row>
    <row r="9" spans="1:4" x14ac:dyDescent="0.2">
      <c r="A9" s="213" t="s">
        <v>380</v>
      </c>
      <c r="B9" s="214"/>
      <c r="C9" s="214"/>
      <c r="D9" s="214"/>
    </row>
    <row r="10" spans="1:4" ht="15" customHeight="1" x14ac:dyDescent="0.2">
      <c r="A10" s="179" t="s">
        <v>370</v>
      </c>
      <c r="B10" s="177"/>
      <c r="C10" s="177"/>
      <c r="D10" s="177"/>
    </row>
    <row r="11" spans="1:4" ht="15" customHeight="1" x14ac:dyDescent="0.2">
      <c r="A11" s="179" t="s">
        <v>371</v>
      </c>
      <c r="B11" s="177"/>
      <c r="C11" s="177"/>
      <c r="D11" s="177"/>
    </row>
    <row r="12" spans="1:4" ht="15" customHeight="1" x14ac:dyDescent="0.2">
      <c r="A12" s="179" t="s">
        <v>381</v>
      </c>
      <c r="B12" s="177"/>
      <c r="C12" s="177"/>
      <c r="D12" s="177"/>
    </row>
    <row r="14" spans="1:4" x14ac:dyDescent="0.2">
      <c r="A14" s="176" t="s">
        <v>372</v>
      </c>
      <c r="B14" s="177"/>
      <c r="C14" s="177"/>
      <c r="D14" s="177"/>
    </row>
    <row r="15" spans="1:4" x14ac:dyDescent="0.2">
      <c r="A15" s="179" t="s">
        <v>325</v>
      </c>
      <c r="B15" s="177"/>
      <c r="C15" s="177"/>
      <c r="D15" s="177"/>
    </row>
    <row r="16" spans="1:4" x14ac:dyDescent="0.2">
      <c r="A16" s="179" t="s">
        <v>326</v>
      </c>
      <c r="B16" s="177"/>
      <c r="C16" s="177"/>
      <c r="D16" s="177"/>
    </row>
    <row r="17" spans="1:4" x14ac:dyDescent="0.2">
      <c r="A17" s="179" t="s">
        <v>327</v>
      </c>
      <c r="B17" s="177"/>
      <c r="C17" s="177"/>
      <c r="D17" s="177"/>
    </row>
    <row r="18" spans="1:4" x14ac:dyDescent="0.2">
      <c r="A18" s="179" t="s">
        <v>328</v>
      </c>
      <c r="B18" s="177"/>
      <c r="C18" s="177"/>
      <c r="D18" s="177"/>
    </row>
    <row r="19" spans="1:4" x14ac:dyDescent="0.2">
      <c r="A19" s="179" t="s">
        <v>329</v>
      </c>
      <c r="B19" s="177"/>
      <c r="C19" s="177"/>
      <c r="D19" s="177"/>
    </row>
    <row r="21" spans="1:4" x14ac:dyDescent="0.2">
      <c r="A21" s="180" t="s">
        <v>373</v>
      </c>
      <c r="B21" s="181"/>
      <c r="C21" s="181"/>
      <c r="D21" s="181"/>
    </row>
    <row r="22" spans="1:4" x14ac:dyDescent="0.2">
      <c r="A22" s="179" t="s">
        <v>330</v>
      </c>
      <c r="B22" s="177"/>
      <c r="C22" s="177"/>
      <c r="D22" s="177"/>
    </row>
    <row r="23" spans="1:4" x14ac:dyDescent="0.2">
      <c r="A23" s="179" t="s">
        <v>331</v>
      </c>
      <c r="B23" s="177"/>
      <c r="C23" s="177"/>
      <c r="D23" s="177"/>
    </row>
    <row r="25" spans="1:4" x14ac:dyDescent="0.2">
      <c r="A25" s="176" t="s">
        <v>374</v>
      </c>
      <c r="B25" s="177"/>
      <c r="C25" s="177"/>
      <c r="D25" s="177"/>
    </row>
    <row r="26" spans="1:4" x14ac:dyDescent="0.2">
      <c r="A26" s="179" t="s">
        <v>332</v>
      </c>
      <c r="B26" s="177"/>
      <c r="C26" s="177"/>
      <c r="D26" s="177"/>
    </row>
    <row r="28" spans="1:4" x14ac:dyDescent="0.2">
      <c r="A28" s="220" t="s">
        <v>375</v>
      </c>
      <c r="B28" s="221"/>
      <c r="C28" s="221"/>
      <c r="D28" s="221"/>
    </row>
    <row r="29" spans="1:4" x14ac:dyDescent="0.2">
      <c r="A29" s="179" t="s">
        <v>333</v>
      </c>
      <c r="B29" s="177"/>
      <c r="C29" s="177"/>
      <c r="D29" s="177"/>
    </row>
    <row r="30" spans="1:4" x14ac:dyDescent="0.2">
      <c r="A30" s="179" t="s">
        <v>334</v>
      </c>
      <c r="B30" s="177"/>
      <c r="C30" s="177"/>
      <c r="D30" s="177"/>
    </row>
    <row r="31" spans="1:4" x14ac:dyDescent="0.2">
      <c r="A31" s="179" t="s">
        <v>335</v>
      </c>
      <c r="B31" s="177"/>
      <c r="C31" s="177"/>
      <c r="D31" s="177"/>
    </row>
    <row r="32" spans="1:4" x14ac:dyDescent="0.2">
      <c r="A32" s="179" t="s">
        <v>336</v>
      </c>
      <c r="B32" s="177"/>
      <c r="C32" s="177"/>
      <c r="D32" s="177"/>
    </row>
    <row r="34" spans="1:4" x14ac:dyDescent="0.2">
      <c r="A34" s="218" t="s">
        <v>376</v>
      </c>
      <c r="B34" s="219"/>
      <c r="C34" s="219"/>
      <c r="D34" s="219"/>
    </row>
    <row r="35" spans="1:4" x14ac:dyDescent="0.2">
      <c r="A35" s="179" t="s">
        <v>337</v>
      </c>
      <c r="B35" s="177"/>
      <c r="C35" s="177"/>
      <c r="D35" s="177"/>
    </row>
    <row r="36" spans="1:4" x14ac:dyDescent="0.2">
      <c r="A36" s="179" t="s">
        <v>338</v>
      </c>
      <c r="B36" s="177"/>
      <c r="C36" s="177"/>
      <c r="D36" s="177"/>
    </row>
    <row r="37" spans="1:4" x14ac:dyDescent="0.2">
      <c r="A37" s="179" t="s">
        <v>339</v>
      </c>
      <c r="B37" s="177"/>
      <c r="C37" s="177"/>
      <c r="D37" s="177"/>
    </row>
    <row r="38" spans="1:4" x14ac:dyDescent="0.2">
      <c r="A38" s="179" t="s">
        <v>340</v>
      </c>
      <c r="B38" s="177"/>
      <c r="C38" s="177"/>
      <c r="D38" s="177"/>
    </row>
    <row r="39" spans="1:4" x14ac:dyDescent="0.2">
      <c r="A39" s="179" t="s">
        <v>341</v>
      </c>
      <c r="B39" s="177"/>
      <c r="C39" s="177"/>
      <c r="D39" s="177"/>
    </row>
    <row r="41" spans="1:4" x14ac:dyDescent="0.2">
      <c r="A41" s="176" t="s">
        <v>377</v>
      </c>
      <c r="B41" s="177"/>
      <c r="C41" s="177"/>
      <c r="D41" s="177"/>
    </row>
    <row r="42" spans="1:4" x14ac:dyDescent="0.2">
      <c r="A42" s="179" t="s">
        <v>342</v>
      </c>
      <c r="B42" s="177"/>
      <c r="C42" s="177"/>
      <c r="D42" s="177"/>
    </row>
    <row r="44" spans="1:4" x14ac:dyDescent="0.2">
      <c r="A44" s="220" t="s">
        <v>378</v>
      </c>
      <c r="B44" s="221"/>
      <c r="C44" s="221"/>
      <c r="D44" s="221"/>
    </row>
    <row r="46" spans="1:4" x14ac:dyDescent="0.2">
      <c r="A46" s="178" t="s">
        <v>379</v>
      </c>
      <c r="B46" s="177"/>
      <c r="C46" s="177"/>
      <c r="D46" s="177"/>
    </row>
    <row r="47" spans="1:4" x14ac:dyDescent="0.2">
      <c r="A47" s="179" t="s">
        <v>343</v>
      </c>
      <c r="B47" s="177"/>
      <c r="C47" s="177"/>
      <c r="D47" s="177"/>
    </row>
    <row r="48" spans="1:4" x14ac:dyDescent="0.2">
      <c r="A48" s="179" t="s">
        <v>344</v>
      </c>
      <c r="B48" s="177"/>
      <c r="C48" s="177"/>
      <c r="D48" s="177"/>
    </row>
    <row r="49" spans="1:4" x14ac:dyDescent="0.2">
      <c r="A49" s="179" t="s">
        <v>345</v>
      </c>
      <c r="B49" s="177"/>
      <c r="C49" s="177"/>
      <c r="D49" s="177"/>
    </row>
  </sheetData>
  <mergeCells count="39">
    <mergeCell ref="A7:D7"/>
    <mergeCell ref="A9:D9"/>
    <mergeCell ref="A10:D10"/>
    <mergeCell ref="A11:D11"/>
    <mergeCell ref="A12:D12"/>
    <mergeCell ref="A1:D1"/>
    <mergeCell ref="A3:D3"/>
    <mergeCell ref="A4:D4"/>
    <mergeCell ref="A5:D5"/>
    <mergeCell ref="A6:D6"/>
    <mergeCell ref="A28:D28"/>
    <mergeCell ref="A14:D14"/>
    <mergeCell ref="A15:D15"/>
    <mergeCell ref="A16:D16"/>
    <mergeCell ref="A17:D17"/>
    <mergeCell ref="A18:D18"/>
    <mergeCell ref="A19:D19"/>
    <mergeCell ref="A21:D21"/>
    <mergeCell ref="A22:D22"/>
    <mergeCell ref="A23:D23"/>
    <mergeCell ref="A25:D25"/>
    <mergeCell ref="A26:D26"/>
    <mergeCell ref="A42:D42"/>
    <mergeCell ref="A29:D29"/>
    <mergeCell ref="A30:D30"/>
    <mergeCell ref="A31:D31"/>
    <mergeCell ref="A32:D32"/>
    <mergeCell ref="A34:D34"/>
    <mergeCell ref="A35:D35"/>
    <mergeCell ref="A36:D36"/>
    <mergeCell ref="A37:D37"/>
    <mergeCell ref="A38:D38"/>
    <mergeCell ref="A39:D39"/>
    <mergeCell ref="A41:D41"/>
    <mergeCell ref="A44:D44"/>
    <mergeCell ref="A46:D46"/>
    <mergeCell ref="A47:D47"/>
    <mergeCell ref="A48:D48"/>
    <mergeCell ref="A49:D4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EC50A-9781-8945-BF89-309B5EEE4E99}">
  <dimension ref="A1:CG385"/>
  <sheetViews>
    <sheetView workbookViewId="0">
      <selection activeCell="H363" sqref="H363"/>
    </sheetView>
  </sheetViews>
  <sheetFormatPr baseColWidth="10" defaultColWidth="8.83203125" defaultRowHeight="16" x14ac:dyDescent="0.2"/>
  <cols>
    <col min="1" max="1" width="46.5" customWidth="1"/>
    <col min="2" max="2" width="6" style="26" customWidth="1"/>
    <col min="3" max="3" width="10.33203125" customWidth="1"/>
    <col min="4" max="4" width="10" customWidth="1"/>
    <col min="5" max="6" width="13.83203125" customWidth="1"/>
    <col min="7" max="7" width="23.6640625" customWidth="1"/>
    <col min="8" max="11" width="13.83203125" customWidth="1"/>
    <col min="12" max="12" width="14.5" customWidth="1"/>
    <col min="13" max="13" width="11.1640625" customWidth="1"/>
    <col min="14" max="14" width="14.5" customWidth="1"/>
    <col min="15" max="15" width="9.5" customWidth="1"/>
    <col min="16" max="16" width="11.83203125" customWidth="1"/>
    <col min="17" max="17" width="14" customWidth="1"/>
    <col min="18" max="18" width="12.5" customWidth="1"/>
    <col min="19" max="19" width="12.1640625" style="2" customWidth="1"/>
    <col min="20" max="20" width="2.83203125" customWidth="1"/>
    <col min="21" max="21" width="15.6640625" customWidth="1"/>
    <col min="22" max="22" width="9.33203125" customWidth="1"/>
    <col min="23" max="23" width="11.5" customWidth="1"/>
    <col min="24" max="24" width="10.33203125" style="2" customWidth="1"/>
    <col min="25" max="25" width="3.33203125" customWidth="1"/>
    <col min="26" max="26" width="17.1640625" customWidth="1"/>
    <col min="27" max="27" width="10.83203125" customWidth="1"/>
    <col min="28" max="29" width="10.33203125" customWidth="1"/>
    <col min="30" max="30" width="11.5" style="2" customWidth="1"/>
    <col min="31" max="31" width="20.83203125" customWidth="1"/>
    <col min="32" max="33" width="10.33203125" customWidth="1"/>
    <col min="34" max="34" width="11.5" customWidth="1"/>
    <col min="35" max="35" width="10.6640625" customWidth="1"/>
    <col min="36" max="36" width="11.33203125" customWidth="1"/>
    <col min="37" max="37" width="13.1640625" style="2" customWidth="1"/>
    <col min="38" max="38" width="19.6640625" bestFit="1" customWidth="1"/>
    <col min="39" max="39" width="10.33203125" customWidth="1"/>
    <col min="40" max="40" width="10.1640625" customWidth="1"/>
    <col min="42" max="42" width="13.5" customWidth="1"/>
    <col min="45" max="45" width="11.6640625" style="2" customWidth="1"/>
    <col min="46" max="46" width="19.6640625" bestFit="1" customWidth="1"/>
    <col min="54" max="54" width="8.83203125" style="2"/>
    <col min="55" max="55" width="23.33203125" bestFit="1" customWidth="1"/>
    <col min="64" max="64" width="8.83203125" style="2"/>
    <col min="65" max="65" width="23.33203125" bestFit="1" customWidth="1"/>
    <col min="75" max="75" width="8.83203125" style="2"/>
    <col min="76" max="76" width="23.33203125" bestFit="1" customWidth="1"/>
    <col min="84" max="84" width="20.83203125" bestFit="1" customWidth="1"/>
  </cols>
  <sheetData>
    <row r="1" spans="1:85" ht="20" thickBot="1" x14ac:dyDescent="0.3">
      <c r="A1" s="1" t="s">
        <v>346</v>
      </c>
      <c r="Q1" s="53"/>
      <c r="R1" s="53"/>
      <c r="S1" s="53"/>
      <c r="X1"/>
    </row>
    <row r="2" spans="1:85" ht="38" customHeight="1" thickBot="1" x14ac:dyDescent="0.5">
      <c r="A2" s="1" t="s">
        <v>347</v>
      </c>
      <c r="G2" s="188" t="s">
        <v>132</v>
      </c>
      <c r="H2" s="189"/>
      <c r="I2" s="189"/>
      <c r="J2" s="189"/>
      <c r="K2" s="189"/>
      <c r="L2" s="189"/>
      <c r="M2" s="189"/>
      <c r="N2" s="189"/>
      <c r="O2" s="190"/>
      <c r="S2" s="53"/>
      <c r="X2"/>
      <c r="CF2" s="186" t="s">
        <v>0</v>
      </c>
      <c r="CG2" s="187"/>
    </row>
    <row r="3" spans="1:85" ht="20" thickBot="1" x14ac:dyDescent="0.3">
      <c r="A3" s="1"/>
      <c r="G3" s="47"/>
      <c r="L3" s="2"/>
      <c r="O3" s="48"/>
      <c r="S3" s="53"/>
      <c r="X3"/>
      <c r="CF3" s="3" t="s">
        <v>1</v>
      </c>
      <c r="CG3" s="4"/>
    </row>
    <row r="4" spans="1:85" ht="19" x14ac:dyDescent="0.25">
      <c r="A4" s="5" t="s">
        <v>120</v>
      </c>
      <c r="B4" s="9"/>
      <c r="G4" s="47" t="s">
        <v>133</v>
      </c>
      <c r="L4" s="2"/>
      <c r="O4" s="48"/>
      <c r="Q4" s="53"/>
      <c r="R4" s="173" t="s">
        <v>169</v>
      </c>
      <c r="S4" s="53"/>
      <c r="X4"/>
      <c r="CF4" s="6" t="s">
        <v>2</v>
      </c>
      <c r="CG4" s="7">
        <v>700</v>
      </c>
    </row>
    <row r="5" spans="1:85" ht="20" x14ac:dyDescent="0.25">
      <c r="A5" s="8" t="s">
        <v>17</v>
      </c>
      <c r="B5" s="9" t="s">
        <v>5</v>
      </c>
      <c r="C5" s="10">
        <v>3000</v>
      </c>
      <c r="G5" s="191" t="s">
        <v>134</v>
      </c>
      <c r="H5" s="192"/>
      <c r="I5" s="49"/>
      <c r="J5" s="193" t="s">
        <v>135</v>
      </c>
      <c r="K5" s="192"/>
      <c r="L5" s="2"/>
      <c r="N5" s="193" t="s">
        <v>136</v>
      </c>
      <c r="O5" s="194"/>
      <c r="Q5" s="95" t="s">
        <v>49</v>
      </c>
      <c r="R5" s="53">
        <f>H78</f>
        <v>12894.95</v>
      </c>
      <c r="S5" s="53"/>
      <c r="X5"/>
      <c r="CF5" s="6" t="s">
        <v>3</v>
      </c>
      <c r="CG5" s="7">
        <v>1000</v>
      </c>
    </row>
    <row r="6" spans="1:85" ht="20" x14ac:dyDescent="0.25">
      <c r="A6" s="8" t="s">
        <v>219</v>
      </c>
      <c r="B6" s="9" t="s">
        <v>220</v>
      </c>
      <c r="C6" s="10">
        <v>20</v>
      </c>
      <c r="G6" s="50" t="s">
        <v>180</v>
      </c>
      <c r="H6" s="168">
        <v>1100</v>
      </c>
      <c r="I6" s="49"/>
      <c r="J6" s="52" t="s">
        <v>179</v>
      </c>
      <c r="K6" s="169">
        <v>6</v>
      </c>
      <c r="L6" s="53"/>
      <c r="N6" s="51" t="s">
        <v>192</v>
      </c>
      <c r="O6" s="171">
        <v>2.5</v>
      </c>
      <c r="Q6" s="96" t="s">
        <v>36</v>
      </c>
      <c r="R6" s="53">
        <f>I78</f>
        <v>-488.5</v>
      </c>
      <c r="S6" s="53"/>
      <c r="X6"/>
      <c r="CF6" s="6"/>
      <c r="CG6" s="82"/>
    </row>
    <row r="7" spans="1:85" ht="20" x14ac:dyDescent="0.25">
      <c r="A7" s="8" t="s">
        <v>319</v>
      </c>
      <c r="B7" s="9" t="s">
        <v>221</v>
      </c>
      <c r="C7" s="10">
        <v>4</v>
      </c>
      <c r="G7" s="50" t="s">
        <v>3</v>
      </c>
      <c r="H7" s="168">
        <v>2500</v>
      </c>
      <c r="I7" s="49"/>
      <c r="J7" s="52" t="s">
        <v>182</v>
      </c>
      <c r="K7" s="169">
        <v>3.5</v>
      </c>
      <c r="L7" s="53"/>
      <c r="N7" s="51" t="s">
        <v>28</v>
      </c>
      <c r="O7" s="171">
        <v>1.25</v>
      </c>
      <c r="Q7" s="37" t="s">
        <v>50</v>
      </c>
      <c r="R7" s="53">
        <f>J78</f>
        <v>174.16666666666663</v>
      </c>
      <c r="S7" s="53"/>
      <c r="X7"/>
      <c r="CF7" s="6"/>
      <c r="CG7" s="82"/>
    </row>
    <row r="8" spans="1:85" ht="20" x14ac:dyDescent="0.2">
      <c r="B8"/>
      <c r="G8" s="50" t="s">
        <v>137</v>
      </c>
      <c r="H8" s="168">
        <v>1250</v>
      </c>
      <c r="I8" s="49"/>
      <c r="J8" s="52" t="s">
        <v>50</v>
      </c>
      <c r="K8" s="169">
        <v>7.5</v>
      </c>
      <c r="L8" s="53"/>
      <c r="N8" s="49"/>
      <c r="O8" s="83"/>
      <c r="Q8" s="38" t="s">
        <v>215</v>
      </c>
      <c r="R8" s="53">
        <f>K78</f>
        <v>-1912.5</v>
      </c>
      <c r="S8" s="53"/>
      <c r="X8"/>
      <c r="CF8" s="6"/>
      <c r="CG8" s="82"/>
    </row>
    <row r="9" spans="1:85" ht="20" x14ac:dyDescent="0.25">
      <c r="B9"/>
      <c r="C9" s="165" t="s">
        <v>322</v>
      </c>
      <c r="G9" s="50"/>
      <c r="H9" s="51"/>
      <c r="I9" s="49"/>
      <c r="J9" s="52" t="s">
        <v>181</v>
      </c>
      <c r="K9" s="169">
        <v>100</v>
      </c>
      <c r="L9" s="53"/>
      <c r="N9" s="49"/>
      <c r="O9" s="83"/>
      <c r="Q9" s="39" t="s">
        <v>73</v>
      </c>
      <c r="R9" s="53">
        <f>L78</f>
        <v>-263.875</v>
      </c>
      <c r="S9" s="53"/>
      <c r="X9"/>
      <c r="CF9" s="6"/>
      <c r="CG9" s="82"/>
    </row>
    <row r="10" spans="1:85" ht="17" thickBot="1" x14ac:dyDescent="0.25">
      <c r="B10"/>
      <c r="G10" s="47"/>
      <c r="I10" s="49"/>
      <c r="J10" s="52" t="s">
        <v>183</v>
      </c>
      <c r="K10" s="169">
        <v>3</v>
      </c>
      <c r="L10" s="53"/>
      <c r="M10" s="49"/>
      <c r="N10" s="49"/>
      <c r="O10" s="83"/>
      <c r="Q10" s="40" t="s">
        <v>216</v>
      </c>
      <c r="R10" s="53">
        <f>M78</f>
        <v>1918.2416666666668</v>
      </c>
      <c r="S10" s="53"/>
      <c r="X10"/>
      <c r="CF10" s="6"/>
      <c r="CG10" s="82"/>
    </row>
    <row r="11" spans="1:85" ht="20" thickBot="1" x14ac:dyDescent="0.3">
      <c r="B11" s="26" t="s">
        <v>35</v>
      </c>
      <c r="C11" t="s">
        <v>129</v>
      </c>
      <c r="D11" t="s">
        <v>130</v>
      </c>
      <c r="E11" t="s">
        <v>131</v>
      </c>
      <c r="G11" s="47"/>
      <c r="I11" s="49"/>
      <c r="J11" s="52" t="s">
        <v>184</v>
      </c>
      <c r="K11" s="169">
        <v>6</v>
      </c>
      <c r="L11" s="53"/>
      <c r="M11" s="49"/>
      <c r="N11" s="49"/>
      <c r="O11" s="83"/>
      <c r="Q11" s="25" t="s">
        <v>217</v>
      </c>
      <c r="R11" s="53">
        <f>N78</f>
        <v>1325</v>
      </c>
      <c r="S11" s="53"/>
      <c r="X11"/>
      <c r="CF11" s="3" t="s">
        <v>4</v>
      </c>
      <c r="CG11" s="4"/>
    </row>
    <row r="12" spans="1:85" ht="20" x14ac:dyDescent="0.2">
      <c r="A12" s="23" t="s">
        <v>223</v>
      </c>
      <c r="E12" s="172">
        <f>180000</f>
        <v>180000</v>
      </c>
      <c r="G12" s="47"/>
      <c r="I12" s="49"/>
      <c r="J12" s="52" t="s">
        <v>252</v>
      </c>
      <c r="K12" s="169">
        <v>0.125</v>
      </c>
      <c r="L12" s="53"/>
      <c r="M12" s="49"/>
      <c r="N12" s="49"/>
      <c r="O12" s="83"/>
      <c r="Q12" s="43" t="s">
        <v>96</v>
      </c>
      <c r="R12" s="53">
        <f>O78</f>
        <v>-933.33333333333326</v>
      </c>
      <c r="S12" s="53"/>
    </row>
    <row r="13" spans="1:85" ht="20" x14ac:dyDescent="0.25">
      <c r="A13" s="25" t="s">
        <v>15</v>
      </c>
      <c r="G13" s="47"/>
      <c r="J13" s="52" t="s">
        <v>254</v>
      </c>
      <c r="K13" s="169">
        <v>1</v>
      </c>
      <c r="O13" s="48"/>
      <c r="Q13" s="44" t="s">
        <v>103</v>
      </c>
      <c r="R13" s="53">
        <f>P78</f>
        <v>-748.08333333333326</v>
      </c>
      <c r="S13" s="53"/>
    </row>
    <row r="14" spans="1:85" ht="20" x14ac:dyDescent="0.2">
      <c r="A14" s="14" t="s">
        <v>10</v>
      </c>
      <c r="B14" s="26" t="s">
        <v>35</v>
      </c>
      <c r="C14" t="s">
        <v>129</v>
      </c>
      <c r="D14" t="s">
        <v>186</v>
      </c>
      <c r="E14" t="s">
        <v>187</v>
      </c>
      <c r="G14" s="47"/>
      <c r="J14" s="52" t="s">
        <v>253</v>
      </c>
      <c r="K14" s="169">
        <v>4</v>
      </c>
      <c r="O14" s="48"/>
      <c r="Q14" s="45" t="s">
        <v>190</v>
      </c>
      <c r="R14" s="53">
        <f>Q78</f>
        <v>-9.3333333333333428</v>
      </c>
      <c r="S14" s="53"/>
    </row>
    <row r="15" spans="1:85" ht="20" x14ac:dyDescent="0.2">
      <c r="A15" s="12" t="s">
        <v>16</v>
      </c>
      <c r="B15" s="11" t="s">
        <v>5</v>
      </c>
      <c r="C15" s="166">
        <v>2925</v>
      </c>
      <c r="D15" s="85">
        <f>K6</f>
        <v>6</v>
      </c>
      <c r="E15" s="49">
        <f>C15*D15</f>
        <v>17550</v>
      </c>
      <c r="G15" s="47"/>
      <c r="J15" s="52" t="s">
        <v>255</v>
      </c>
      <c r="K15" s="169">
        <v>4</v>
      </c>
      <c r="O15" s="48"/>
      <c r="P15" s="49"/>
      <c r="Q15" s="46" t="s">
        <v>191</v>
      </c>
      <c r="R15" s="53">
        <f>R78</f>
        <v>-543.9666666666667</v>
      </c>
      <c r="S15" s="53"/>
    </row>
    <row r="16" spans="1:85" x14ac:dyDescent="0.2">
      <c r="D16" s="85"/>
      <c r="E16" s="49"/>
      <c r="G16" s="47"/>
      <c r="J16" s="52" t="s">
        <v>256</v>
      </c>
      <c r="K16" s="169">
        <v>0.25</v>
      </c>
      <c r="O16" s="48"/>
      <c r="P16" s="49"/>
      <c r="Q16" s="78" t="s">
        <v>146</v>
      </c>
      <c r="R16" s="53">
        <f>S78</f>
        <v>11412.766666666666</v>
      </c>
      <c r="S16" s="53"/>
    </row>
    <row r="17" spans="1:20" x14ac:dyDescent="0.2">
      <c r="A17" t="s">
        <v>351</v>
      </c>
      <c r="B17" s="32" t="s">
        <v>6</v>
      </c>
      <c r="C17" s="166">
        <v>100</v>
      </c>
      <c r="D17" s="49">
        <v>0</v>
      </c>
      <c r="E17" s="49">
        <f t="shared" ref="E17:E21" si="0">C17*D17</f>
        <v>0</v>
      </c>
      <c r="G17" s="47"/>
      <c r="J17" s="52" t="s">
        <v>257</v>
      </c>
      <c r="K17" s="169">
        <v>5</v>
      </c>
      <c r="O17" s="48"/>
      <c r="Q17" s="75" t="s">
        <v>178</v>
      </c>
      <c r="R17" s="174">
        <f>S89</f>
        <v>14.03688145536821</v>
      </c>
      <c r="S17"/>
    </row>
    <row r="18" spans="1:20" x14ac:dyDescent="0.2">
      <c r="A18" t="s">
        <v>352</v>
      </c>
      <c r="B18" s="32" t="s">
        <v>6</v>
      </c>
      <c r="C18" s="166">
        <v>620</v>
      </c>
      <c r="D18" s="49">
        <v>0</v>
      </c>
      <c r="E18" s="49">
        <f t="shared" ref="E18:E19" si="1">C18*D18</f>
        <v>0</v>
      </c>
      <c r="G18" s="47"/>
      <c r="J18" s="52" t="s">
        <v>105</v>
      </c>
      <c r="K18" s="169">
        <v>3</v>
      </c>
      <c r="O18" s="48"/>
      <c r="Q18" s="2"/>
      <c r="S18"/>
    </row>
    <row r="19" spans="1:20" x14ac:dyDescent="0.2">
      <c r="A19" t="s">
        <v>19</v>
      </c>
      <c r="B19" s="33" t="s">
        <v>6</v>
      </c>
      <c r="C19" s="166">
        <v>18</v>
      </c>
      <c r="D19" s="49">
        <v>0</v>
      </c>
      <c r="E19" s="49">
        <f>C19*D19</f>
        <v>0</v>
      </c>
      <c r="G19" s="47"/>
      <c r="J19" s="52" t="s">
        <v>185</v>
      </c>
      <c r="K19" s="169">
        <v>1.5</v>
      </c>
      <c r="O19" s="48"/>
    </row>
    <row r="20" spans="1:20" ht="17" thickBot="1" x14ac:dyDescent="0.25">
      <c r="A20" t="s">
        <v>348</v>
      </c>
      <c r="B20" s="34" t="s">
        <v>6</v>
      </c>
      <c r="C20" s="166">
        <v>5</v>
      </c>
      <c r="D20" s="49">
        <v>0</v>
      </c>
      <c r="E20" s="49">
        <f>C20*D20</f>
        <v>0</v>
      </c>
      <c r="G20" s="54"/>
      <c r="H20" s="55"/>
      <c r="I20" s="55"/>
      <c r="J20" s="104" t="s">
        <v>258</v>
      </c>
      <c r="K20" s="170">
        <v>1</v>
      </c>
      <c r="L20" s="55"/>
      <c r="M20" s="55"/>
      <c r="N20" s="55"/>
      <c r="O20" s="84"/>
    </row>
    <row r="21" spans="1:20" x14ac:dyDescent="0.2">
      <c r="A21" t="s">
        <v>349</v>
      </c>
      <c r="B21" s="34" t="s">
        <v>6</v>
      </c>
      <c r="C21" s="166">
        <v>25</v>
      </c>
      <c r="D21" s="49">
        <v>0</v>
      </c>
      <c r="E21" s="49">
        <f t="shared" ref="E21:E22" si="2">C21*D21</f>
        <v>0</v>
      </c>
      <c r="Q21" s="2"/>
      <c r="S21"/>
    </row>
    <row r="22" spans="1:20" ht="17" customHeight="1" x14ac:dyDescent="0.2">
      <c r="A22" t="s">
        <v>350</v>
      </c>
      <c r="B22" s="34" t="s">
        <v>6</v>
      </c>
      <c r="C22" s="166">
        <v>14</v>
      </c>
      <c r="D22" s="49">
        <v>0</v>
      </c>
      <c r="E22" s="49">
        <f t="shared" si="2"/>
        <v>0</v>
      </c>
      <c r="G22" s="200" t="s">
        <v>234</v>
      </c>
      <c r="H22" s="201"/>
    </row>
    <row r="23" spans="1:20" x14ac:dyDescent="0.2">
      <c r="A23" s="199" t="s">
        <v>354</v>
      </c>
      <c r="B23" s="34" t="s">
        <v>5</v>
      </c>
      <c r="C23" s="166">
        <v>6528</v>
      </c>
      <c r="D23" s="49">
        <v>0</v>
      </c>
      <c r="E23" s="49">
        <f>C23*D23/1000</f>
        <v>0</v>
      </c>
      <c r="G23" s="201"/>
      <c r="H23" s="201"/>
    </row>
    <row r="24" spans="1:20" x14ac:dyDescent="0.2">
      <c r="A24" s="199" t="s">
        <v>353</v>
      </c>
      <c r="B24" s="34" t="s">
        <v>5</v>
      </c>
      <c r="C24" s="166">
        <v>479</v>
      </c>
      <c r="D24" s="49">
        <v>0</v>
      </c>
      <c r="E24" s="49">
        <f>C24*D24/1000</f>
        <v>0</v>
      </c>
    </row>
    <row r="25" spans="1:20" ht="20" x14ac:dyDescent="0.25">
      <c r="A25" t="s">
        <v>14</v>
      </c>
      <c r="B25" s="34" t="s">
        <v>5</v>
      </c>
      <c r="C25" s="166">
        <v>13</v>
      </c>
      <c r="D25" s="49">
        <v>0</v>
      </c>
      <c r="E25" s="49">
        <f>C25*D25</f>
        <v>0</v>
      </c>
      <c r="H25" s="95" t="s">
        <v>49</v>
      </c>
      <c r="I25" s="96" t="s">
        <v>36</v>
      </c>
      <c r="J25" s="37" t="s">
        <v>50</v>
      </c>
      <c r="K25" s="38" t="s">
        <v>215</v>
      </c>
      <c r="L25" s="39" t="s">
        <v>73</v>
      </c>
      <c r="M25" s="40" t="s">
        <v>216</v>
      </c>
      <c r="N25" s="25" t="s">
        <v>217</v>
      </c>
      <c r="O25" s="43" t="s">
        <v>96</v>
      </c>
      <c r="P25" s="44" t="s">
        <v>103</v>
      </c>
      <c r="Q25" s="45" t="s">
        <v>190</v>
      </c>
      <c r="R25" s="46" t="s">
        <v>191</v>
      </c>
      <c r="S25" s="78" t="s">
        <v>146</v>
      </c>
    </row>
    <row r="26" spans="1:20" x14ac:dyDescent="0.2">
      <c r="A26" s="13" t="s">
        <v>22</v>
      </c>
      <c r="C26" s="29">
        <f>SUM(C15:C25)</f>
        <v>10727</v>
      </c>
      <c r="D26" s="85"/>
      <c r="E26" s="49"/>
      <c r="G26" s="56" t="s">
        <v>218</v>
      </c>
      <c r="H26" s="79">
        <f>E12</f>
        <v>180000</v>
      </c>
      <c r="I26" s="49">
        <f>E61</f>
        <v>45000</v>
      </c>
      <c r="J26" s="49">
        <f>E99</f>
        <v>35000</v>
      </c>
      <c r="K26" s="49">
        <f>E131</f>
        <v>45000</v>
      </c>
      <c r="L26" s="49">
        <f>E167</f>
        <v>30000</v>
      </c>
      <c r="M26" s="49">
        <f>E196</f>
        <v>1370000</v>
      </c>
      <c r="N26" s="49">
        <f>E233</f>
        <v>90000</v>
      </c>
      <c r="O26" s="49">
        <f>E280</f>
        <v>17000</v>
      </c>
      <c r="P26" s="49">
        <f>E303</f>
        <v>3500</v>
      </c>
      <c r="Q26" s="49">
        <f>E329</f>
        <v>5000</v>
      </c>
      <c r="R26" s="49">
        <f>E353</f>
        <v>25000</v>
      </c>
      <c r="S26" s="49">
        <f>SUM(H26:R26)</f>
        <v>1845500</v>
      </c>
    </row>
    <row r="27" spans="1:20" x14ac:dyDescent="0.2">
      <c r="B27" s="11"/>
      <c r="D27" s="85"/>
      <c r="E27" s="49"/>
      <c r="H27" s="79"/>
      <c r="I27" s="49"/>
      <c r="J27" s="49"/>
      <c r="K27" s="49"/>
      <c r="L27" s="49"/>
      <c r="N27" s="49"/>
      <c r="O27" s="49"/>
      <c r="P27" s="49"/>
      <c r="S27"/>
    </row>
    <row r="28" spans="1:20" ht="20" x14ac:dyDescent="0.25">
      <c r="A28" s="14" t="s">
        <v>18</v>
      </c>
      <c r="B28" s="34"/>
      <c r="D28" s="85"/>
      <c r="E28" s="49"/>
      <c r="G28" s="57" t="s">
        <v>138</v>
      </c>
      <c r="H28" s="76" t="s">
        <v>49</v>
      </c>
      <c r="I28" s="77" t="s">
        <v>36</v>
      </c>
      <c r="J28" s="77" t="s">
        <v>50</v>
      </c>
      <c r="K28" s="78" t="s">
        <v>189</v>
      </c>
      <c r="L28" s="78" t="s">
        <v>73</v>
      </c>
      <c r="M28" s="40" t="s">
        <v>216</v>
      </c>
      <c r="N28" s="25" t="s">
        <v>217</v>
      </c>
      <c r="O28" s="43" t="s">
        <v>96</v>
      </c>
      <c r="P28" s="44" t="s">
        <v>103</v>
      </c>
      <c r="Q28" s="45" t="s">
        <v>190</v>
      </c>
      <c r="R28" s="46" t="s">
        <v>191</v>
      </c>
      <c r="S28" s="78" t="s">
        <v>146</v>
      </c>
    </row>
    <row r="29" spans="1:20" ht="16" customHeight="1" x14ac:dyDescent="0.2">
      <c r="A29" t="s">
        <v>242</v>
      </c>
      <c r="B29" s="34" t="s">
        <v>20</v>
      </c>
      <c r="C29" s="166">
        <v>46</v>
      </c>
      <c r="D29" s="85">
        <v>0</v>
      </c>
      <c r="E29" s="49">
        <f t="shared" ref="E29" si="3">C29*D29</f>
        <v>0</v>
      </c>
      <c r="G29" s="58" t="s">
        <v>139</v>
      </c>
      <c r="H29" s="80" t="s">
        <v>139</v>
      </c>
      <c r="I29" s="81" t="s">
        <v>139</v>
      </c>
      <c r="J29" s="81" t="s">
        <v>139</v>
      </c>
      <c r="K29" s="81" t="s">
        <v>139</v>
      </c>
      <c r="L29" s="81" t="s">
        <v>139</v>
      </c>
      <c r="M29" s="81" t="s">
        <v>139</v>
      </c>
      <c r="N29" s="81" t="s">
        <v>139</v>
      </c>
      <c r="O29" s="81" t="s">
        <v>139</v>
      </c>
      <c r="P29" s="81" t="s">
        <v>139</v>
      </c>
      <c r="Q29" s="81" t="s">
        <v>139</v>
      </c>
      <c r="R29" s="81" t="s">
        <v>139</v>
      </c>
      <c r="S29" s="81" t="s">
        <v>139</v>
      </c>
    </row>
    <row r="30" spans="1:20" ht="19" customHeight="1" x14ac:dyDescent="0.2">
      <c r="A30" t="s">
        <v>243</v>
      </c>
      <c r="B30" s="34" t="s">
        <v>20</v>
      </c>
      <c r="C30" s="166">
        <v>77</v>
      </c>
      <c r="D30" s="85">
        <v>0</v>
      </c>
      <c r="E30" s="49">
        <f t="shared" ref="E30" si="4">C30*D30</f>
        <v>0</v>
      </c>
      <c r="G30" s="86" t="s">
        <v>141</v>
      </c>
      <c r="H30" s="49">
        <f>E15</f>
        <v>17550</v>
      </c>
      <c r="I30" s="49"/>
      <c r="J30" s="49"/>
      <c r="K30" s="49"/>
      <c r="L30" s="49"/>
      <c r="M30" s="49"/>
      <c r="N30" s="49"/>
      <c r="O30" s="49"/>
      <c r="P30" s="49"/>
      <c r="Q30" s="49"/>
      <c r="S30" s="49">
        <f>SUM(H30:R30)</f>
        <v>17550</v>
      </c>
    </row>
    <row r="31" spans="1:20" ht="20" x14ac:dyDescent="0.2">
      <c r="A31" t="s">
        <v>27</v>
      </c>
      <c r="B31" s="34" t="s">
        <v>6</v>
      </c>
      <c r="C31" s="166">
        <v>100</v>
      </c>
      <c r="D31" s="85">
        <f>$K$12</f>
        <v>0.125</v>
      </c>
      <c r="E31" s="49">
        <f>C31*D31</f>
        <v>12.5</v>
      </c>
      <c r="G31" s="86" t="s">
        <v>194</v>
      </c>
      <c r="H31" s="49"/>
      <c r="I31" s="49"/>
      <c r="J31" s="49"/>
      <c r="K31" s="49"/>
      <c r="L31" s="49"/>
      <c r="M31" s="49"/>
      <c r="N31" s="49"/>
      <c r="O31" s="49"/>
      <c r="P31" s="49"/>
      <c r="Q31" s="49"/>
      <c r="S31" s="49">
        <f t="shared" ref="S31:S44" si="5">SUM(H31:R31)</f>
        <v>0</v>
      </c>
    </row>
    <row r="32" spans="1:20" ht="20" x14ac:dyDescent="0.2">
      <c r="A32" s="21" t="s">
        <v>26</v>
      </c>
      <c r="C32" s="29">
        <f>SUM(C29:C31)</f>
        <v>223</v>
      </c>
      <c r="D32" s="85"/>
      <c r="E32" s="49"/>
      <c r="G32" s="87" t="s">
        <v>193</v>
      </c>
      <c r="H32" s="49"/>
      <c r="I32" s="49">
        <f>E65</f>
        <v>3150</v>
      </c>
      <c r="J32" s="49"/>
      <c r="K32" s="49"/>
      <c r="L32" s="49"/>
      <c r="M32" s="49"/>
      <c r="N32" s="49"/>
      <c r="O32" s="49"/>
      <c r="P32" s="49"/>
      <c r="Q32" s="49"/>
      <c r="S32" s="49">
        <f t="shared" si="5"/>
        <v>3150</v>
      </c>
      <c r="T32" s="2"/>
    </row>
    <row r="33" spans="1:20" ht="20" x14ac:dyDescent="0.2">
      <c r="B33" s="11"/>
      <c r="D33" s="85"/>
      <c r="E33" s="49"/>
      <c r="G33" s="88" t="s">
        <v>140</v>
      </c>
      <c r="H33" s="49"/>
      <c r="I33" s="49"/>
      <c r="J33" s="49">
        <f>E103</f>
        <v>2565</v>
      </c>
      <c r="K33" s="49"/>
      <c r="L33" s="49"/>
      <c r="M33" s="49"/>
      <c r="N33" s="49"/>
      <c r="O33" s="49"/>
      <c r="P33" s="49"/>
      <c r="Q33" s="49"/>
      <c r="S33" s="49">
        <f t="shared" si="5"/>
        <v>2565</v>
      </c>
      <c r="T33" s="2"/>
    </row>
    <row r="34" spans="1:20" ht="20" x14ac:dyDescent="0.25">
      <c r="A34" s="25" t="s">
        <v>23</v>
      </c>
      <c r="D34" s="85"/>
      <c r="E34" s="49"/>
      <c r="G34" s="89" t="s">
        <v>195</v>
      </c>
      <c r="H34" s="49"/>
      <c r="I34" s="49"/>
      <c r="J34" s="49"/>
      <c r="K34" s="49"/>
      <c r="L34" s="49">
        <f>E179</f>
        <v>22.125</v>
      </c>
      <c r="M34" s="49"/>
      <c r="N34" s="49"/>
      <c r="O34" s="49"/>
      <c r="P34" s="49"/>
      <c r="Q34" s="49"/>
      <c r="S34" s="49">
        <f t="shared" si="5"/>
        <v>22.125</v>
      </c>
      <c r="T34" s="2"/>
    </row>
    <row r="35" spans="1:20" ht="20" x14ac:dyDescent="0.25">
      <c r="A35" s="30" t="s">
        <v>122</v>
      </c>
      <c r="D35" s="85"/>
      <c r="E35" s="49"/>
      <c r="G35" s="91" t="s">
        <v>196</v>
      </c>
      <c r="H35" s="49"/>
      <c r="I35" s="49"/>
      <c r="J35" s="49"/>
      <c r="K35" s="49"/>
      <c r="L35" s="49"/>
      <c r="M35" s="49">
        <f>E200</f>
        <v>10400</v>
      </c>
      <c r="N35" s="49"/>
      <c r="O35" s="49"/>
      <c r="P35" s="49"/>
      <c r="Q35" s="49"/>
      <c r="S35" s="49">
        <f t="shared" si="5"/>
        <v>10400</v>
      </c>
      <c r="T35" s="2"/>
    </row>
    <row r="36" spans="1:20" ht="20" x14ac:dyDescent="0.2">
      <c r="A36" s="14" t="s">
        <v>10</v>
      </c>
      <c r="D36" s="85"/>
      <c r="E36" s="49"/>
      <c r="G36" s="90" t="s">
        <v>197</v>
      </c>
      <c r="H36" s="49"/>
      <c r="I36" s="49"/>
      <c r="J36" s="49"/>
      <c r="K36" s="49"/>
      <c r="L36" s="49"/>
      <c r="N36" s="49">
        <f>E236</f>
        <v>3000</v>
      </c>
      <c r="O36" s="49"/>
      <c r="P36" s="49"/>
      <c r="Q36" s="49"/>
      <c r="S36" s="49">
        <f t="shared" si="5"/>
        <v>3000</v>
      </c>
      <c r="T36" s="2"/>
    </row>
    <row r="37" spans="1:20" ht="20" x14ac:dyDescent="0.2">
      <c r="A37" t="s">
        <v>30</v>
      </c>
      <c r="B37" s="11" t="s">
        <v>6</v>
      </c>
      <c r="C37" s="215">
        <f>C356</f>
        <v>600</v>
      </c>
      <c r="D37" s="85">
        <v>0</v>
      </c>
      <c r="E37" s="49">
        <f t="shared" ref="E37:E39" si="6">C37*D37</f>
        <v>0</v>
      </c>
      <c r="G37" s="90" t="s">
        <v>198</v>
      </c>
      <c r="H37" s="49"/>
      <c r="I37" s="49"/>
      <c r="J37" s="49"/>
      <c r="K37" s="49"/>
      <c r="L37" s="49"/>
      <c r="N37" s="49">
        <f>E239</f>
        <v>840</v>
      </c>
      <c r="O37" s="49"/>
      <c r="P37" s="49"/>
      <c r="Q37" s="49"/>
      <c r="S37" s="49">
        <f t="shared" si="5"/>
        <v>840</v>
      </c>
    </row>
    <row r="38" spans="1:20" ht="20" x14ac:dyDescent="0.2">
      <c r="A38" t="s">
        <v>31</v>
      </c>
      <c r="B38" s="11" t="s">
        <v>6</v>
      </c>
      <c r="C38" s="215">
        <f>C365</f>
        <v>3</v>
      </c>
      <c r="D38" s="85">
        <v>0</v>
      </c>
      <c r="E38" s="49">
        <f t="shared" si="6"/>
        <v>0</v>
      </c>
      <c r="G38" s="92" t="s">
        <v>199</v>
      </c>
      <c r="H38" s="49"/>
      <c r="I38" s="49"/>
      <c r="J38" s="49"/>
      <c r="K38" s="49"/>
      <c r="L38" s="49"/>
      <c r="M38" s="49"/>
      <c r="N38" s="49"/>
      <c r="O38" s="49"/>
      <c r="P38" s="49">
        <f>E306</f>
        <v>129</v>
      </c>
      <c r="Q38" s="49"/>
      <c r="S38" s="49">
        <f t="shared" si="5"/>
        <v>129</v>
      </c>
    </row>
    <row r="39" spans="1:20" ht="20" x14ac:dyDescent="0.2">
      <c r="A39" t="s">
        <v>32</v>
      </c>
      <c r="B39" s="11" t="s">
        <v>6</v>
      </c>
      <c r="C39" s="216">
        <v>4</v>
      </c>
      <c r="D39" s="85">
        <f>$K$14</f>
        <v>4</v>
      </c>
      <c r="E39" s="49">
        <f t="shared" si="6"/>
        <v>16</v>
      </c>
      <c r="G39" s="93" t="s">
        <v>200</v>
      </c>
      <c r="H39" s="49"/>
      <c r="I39" s="49"/>
      <c r="J39" s="49"/>
      <c r="K39" s="49"/>
      <c r="L39" s="49"/>
      <c r="M39" s="49"/>
      <c r="N39" s="49"/>
      <c r="O39" s="49"/>
      <c r="Q39" s="49">
        <f>E332</f>
        <v>501</v>
      </c>
      <c r="S39" s="49">
        <f t="shared" si="5"/>
        <v>501</v>
      </c>
    </row>
    <row r="40" spans="1:20" ht="20" x14ac:dyDescent="0.2">
      <c r="A40" s="12" t="s">
        <v>8</v>
      </c>
      <c r="B40"/>
      <c r="D40" s="85"/>
      <c r="E40" s="49"/>
      <c r="G40" s="93" t="s">
        <v>201</v>
      </c>
      <c r="H40" s="49"/>
      <c r="I40" s="49"/>
      <c r="J40" s="49"/>
      <c r="K40" s="49"/>
      <c r="L40" s="49"/>
      <c r="M40" s="49"/>
      <c r="N40" s="49"/>
      <c r="O40" s="49"/>
      <c r="Q40" s="49">
        <f>E333</f>
        <v>28</v>
      </c>
      <c r="S40" s="49">
        <f t="shared" si="5"/>
        <v>28</v>
      </c>
    </row>
    <row r="41" spans="1:20" ht="20" x14ac:dyDescent="0.2">
      <c r="A41" t="s">
        <v>33</v>
      </c>
      <c r="B41" s="11" t="s">
        <v>5</v>
      </c>
      <c r="C41" s="216">
        <v>10120</v>
      </c>
      <c r="D41" s="85">
        <f>O6</f>
        <v>2.5</v>
      </c>
      <c r="E41" s="49">
        <f>C41*D41/1000</f>
        <v>25.3</v>
      </c>
      <c r="G41" s="94" t="s">
        <v>202</v>
      </c>
      <c r="H41" s="49"/>
      <c r="I41" s="49"/>
      <c r="J41" s="49"/>
      <c r="K41" s="49"/>
      <c r="L41" s="49"/>
      <c r="M41" s="49"/>
      <c r="N41" s="49"/>
      <c r="O41" s="49"/>
      <c r="P41" s="49"/>
      <c r="R41" s="49">
        <f>E358</f>
        <v>39</v>
      </c>
      <c r="S41" s="49">
        <f t="shared" si="5"/>
        <v>39</v>
      </c>
    </row>
    <row r="42" spans="1:20" ht="20" x14ac:dyDescent="0.2">
      <c r="A42" s="21" t="s">
        <v>24</v>
      </c>
      <c r="B42" s="11"/>
      <c r="C42" s="29">
        <f>SUM(C37:C41)</f>
        <v>10727</v>
      </c>
      <c r="D42" s="85"/>
      <c r="E42" s="49"/>
      <c r="G42" s="94" t="s">
        <v>203</v>
      </c>
      <c r="H42" s="49"/>
      <c r="I42" s="49"/>
      <c r="J42" s="49"/>
      <c r="K42" s="49"/>
      <c r="L42" s="49"/>
      <c r="M42" s="49"/>
      <c r="N42" s="49"/>
      <c r="O42" s="49"/>
      <c r="P42" s="49"/>
      <c r="R42" s="49">
        <f>E361</f>
        <v>20.700000000000003</v>
      </c>
      <c r="S42" s="49">
        <f>SUM(H42:R42)</f>
        <v>20.700000000000003</v>
      </c>
    </row>
    <row r="43" spans="1:20" ht="20" x14ac:dyDescent="0.2">
      <c r="D43" s="85"/>
      <c r="E43" s="49"/>
      <c r="G43" s="94" t="s">
        <v>142</v>
      </c>
      <c r="H43" s="49"/>
      <c r="I43" s="49"/>
      <c r="J43" s="49"/>
      <c r="K43" s="49"/>
      <c r="L43" s="49"/>
      <c r="M43" s="49"/>
      <c r="N43" s="49"/>
      <c r="O43" s="49"/>
      <c r="P43" s="49"/>
      <c r="R43" s="49">
        <f>E364</f>
        <v>18</v>
      </c>
      <c r="S43" s="49">
        <f>SUM(H43:R43)</f>
        <v>18</v>
      </c>
    </row>
    <row r="44" spans="1:20" x14ac:dyDescent="0.2">
      <c r="A44" s="14" t="s">
        <v>18</v>
      </c>
      <c r="D44" s="85"/>
      <c r="E44" s="49"/>
      <c r="G44" s="59" t="s">
        <v>143</v>
      </c>
      <c r="H44" s="103">
        <f>SUM(H30:H43)</f>
        <v>17550</v>
      </c>
      <c r="I44" s="103">
        <f t="shared" ref="I44:R44" si="7">SUM(I30:I43)</f>
        <v>3150</v>
      </c>
      <c r="J44" s="103">
        <f t="shared" si="7"/>
        <v>2565</v>
      </c>
      <c r="K44" s="103">
        <f t="shared" si="7"/>
        <v>0</v>
      </c>
      <c r="L44" s="103">
        <f t="shared" si="7"/>
        <v>22.125</v>
      </c>
      <c r="M44" s="103">
        <f t="shared" si="7"/>
        <v>10400</v>
      </c>
      <c r="N44" s="103">
        <f t="shared" si="7"/>
        <v>3840</v>
      </c>
      <c r="O44" s="103">
        <f t="shared" si="7"/>
        <v>0</v>
      </c>
      <c r="P44" s="103">
        <f t="shared" si="7"/>
        <v>129</v>
      </c>
      <c r="Q44" s="103">
        <f t="shared" si="7"/>
        <v>529</v>
      </c>
      <c r="R44" s="103">
        <f t="shared" si="7"/>
        <v>77.7</v>
      </c>
      <c r="S44" s="103">
        <f t="shared" si="5"/>
        <v>38262.824999999997</v>
      </c>
    </row>
    <row r="45" spans="1:20" x14ac:dyDescent="0.2">
      <c r="A45" s="20" t="s">
        <v>121</v>
      </c>
      <c r="D45" s="85"/>
      <c r="E45" s="49"/>
      <c r="S45"/>
    </row>
    <row r="46" spans="1:20" ht="18" x14ac:dyDescent="0.2">
      <c r="A46" t="s">
        <v>209</v>
      </c>
      <c r="B46" s="11" t="s">
        <v>28</v>
      </c>
      <c r="C46" s="216">
        <v>123</v>
      </c>
      <c r="D46" s="85">
        <f>O7</f>
        <v>1.25</v>
      </c>
      <c r="E46" s="49">
        <f>C46*D46</f>
        <v>153.75</v>
      </c>
      <c r="G46" s="60" t="s">
        <v>144</v>
      </c>
      <c r="S46"/>
    </row>
    <row r="47" spans="1:20" x14ac:dyDescent="0.2">
      <c r="D47" s="85"/>
      <c r="E47" s="49"/>
      <c r="G47" s="61" t="s">
        <v>145</v>
      </c>
      <c r="S47"/>
    </row>
    <row r="48" spans="1:20" ht="17" x14ac:dyDescent="0.2">
      <c r="A48" s="20" t="s">
        <v>9</v>
      </c>
      <c r="B48" s="27"/>
      <c r="D48" s="85"/>
      <c r="E48" s="49"/>
      <c r="G48" s="161" t="s">
        <v>320</v>
      </c>
      <c r="H48" s="49">
        <f>E39</f>
        <v>16</v>
      </c>
      <c r="S48" s="49">
        <f t="shared" ref="S48:S52" si="8">SUM(H48:R48)</f>
        <v>16</v>
      </c>
    </row>
    <row r="49" spans="1:19" ht="18" x14ac:dyDescent="0.2">
      <c r="A49" s="35" t="s">
        <v>124</v>
      </c>
      <c r="B49" s="27" t="s">
        <v>6</v>
      </c>
      <c r="C49" s="216">
        <v>10</v>
      </c>
      <c r="D49" s="85">
        <f>$K$13</f>
        <v>1</v>
      </c>
      <c r="E49" s="49">
        <f t="shared" ref="E49:E50" si="9">C49*D49</f>
        <v>10</v>
      </c>
      <c r="G49" s="162" t="s">
        <v>211</v>
      </c>
      <c r="I49" s="49">
        <f>E78</f>
        <v>31</v>
      </c>
      <c r="S49" s="49">
        <f t="shared" si="8"/>
        <v>31</v>
      </c>
    </row>
    <row r="50" spans="1:19" ht="17" x14ac:dyDescent="0.2">
      <c r="A50" t="s">
        <v>34</v>
      </c>
      <c r="B50" s="11" t="s">
        <v>28</v>
      </c>
      <c r="C50" s="202">
        <f>C29</f>
        <v>46</v>
      </c>
      <c r="D50" s="85">
        <v>0</v>
      </c>
      <c r="E50" s="49">
        <f t="shared" si="9"/>
        <v>0</v>
      </c>
      <c r="G50" s="162" t="s">
        <v>212</v>
      </c>
      <c r="I50" s="49">
        <f>E81</f>
        <v>32</v>
      </c>
      <c r="S50" s="49">
        <f t="shared" si="8"/>
        <v>32</v>
      </c>
    </row>
    <row r="51" spans="1:19" ht="17" x14ac:dyDescent="0.2">
      <c r="A51" s="13" t="s">
        <v>25</v>
      </c>
      <c r="B51" s="18"/>
      <c r="C51" s="29">
        <f>SUM(C44:C50)</f>
        <v>179</v>
      </c>
      <c r="D51" s="85"/>
      <c r="E51" s="49"/>
      <c r="G51" s="162" t="s">
        <v>213</v>
      </c>
      <c r="I51" s="49">
        <f>E83</f>
        <v>3</v>
      </c>
      <c r="S51" s="49">
        <f t="shared" si="8"/>
        <v>3</v>
      </c>
    </row>
    <row r="52" spans="1:19" ht="17" x14ac:dyDescent="0.2">
      <c r="D52" s="85"/>
      <c r="E52" s="49"/>
      <c r="G52" s="163" t="s">
        <v>214</v>
      </c>
      <c r="J52" s="49">
        <f>E115</f>
        <v>515</v>
      </c>
      <c r="S52" s="49">
        <f t="shared" si="8"/>
        <v>515</v>
      </c>
    </row>
    <row r="53" spans="1:19" x14ac:dyDescent="0.2">
      <c r="A53" s="12" t="s">
        <v>29</v>
      </c>
      <c r="B53" s="11"/>
      <c r="D53" s="85"/>
      <c r="E53" s="49"/>
      <c r="G53" s="61" t="s">
        <v>147</v>
      </c>
      <c r="S53"/>
    </row>
    <row r="54" spans="1:19" x14ac:dyDescent="0.2">
      <c r="A54" s="15" t="s">
        <v>21</v>
      </c>
      <c r="B54" s="16" t="s">
        <v>7</v>
      </c>
      <c r="C54" s="166">
        <v>2</v>
      </c>
      <c r="D54" s="85">
        <f>$H$6</f>
        <v>1100</v>
      </c>
      <c r="E54" s="49">
        <f>C54*D54</f>
        <v>2200</v>
      </c>
      <c r="G54" s="62" t="s">
        <v>148</v>
      </c>
      <c r="H54" s="49">
        <f>E54</f>
        <v>2200</v>
      </c>
      <c r="I54" s="49">
        <f>E92</f>
        <v>1650</v>
      </c>
      <c r="J54" s="49">
        <f>E124</f>
        <v>1100</v>
      </c>
      <c r="K54" s="49">
        <f>E160</f>
        <v>1100</v>
      </c>
      <c r="L54" s="49">
        <f>E189</f>
        <v>11</v>
      </c>
      <c r="M54" s="49">
        <f>E225</f>
        <v>110</v>
      </c>
      <c r="N54" s="49">
        <f>E273</f>
        <v>1320</v>
      </c>
      <c r="O54" s="49">
        <f>E296</f>
        <v>550</v>
      </c>
      <c r="P54" s="49">
        <f>E322</f>
        <v>550</v>
      </c>
      <c r="Q54" s="49">
        <f>E346</f>
        <v>330</v>
      </c>
      <c r="R54" s="49">
        <f>E379</f>
        <v>330</v>
      </c>
      <c r="S54" s="49">
        <f t="shared" ref="S54:S57" si="10">SUM(H54:R54)</f>
        <v>9251</v>
      </c>
    </row>
    <row r="55" spans="1:19" x14ac:dyDescent="0.2">
      <c r="D55" s="85"/>
      <c r="E55" s="49"/>
      <c r="G55" s="62" t="s">
        <v>149</v>
      </c>
      <c r="H55" s="49">
        <f>E41</f>
        <v>25.3</v>
      </c>
      <c r="I55" s="49">
        <f>E80</f>
        <v>820</v>
      </c>
      <c r="M55" s="49">
        <f>E213</f>
        <v>65.924999999999997</v>
      </c>
      <c r="S55" s="49">
        <f t="shared" si="10"/>
        <v>911.22499999999991</v>
      </c>
    </row>
    <row r="56" spans="1:19" ht="19" x14ac:dyDescent="0.25">
      <c r="A56" s="30" t="s">
        <v>123</v>
      </c>
      <c r="D56" s="85"/>
      <c r="E56" s="49"/>
      <c r="G56" s="62" t="s">
        <v>150</v>
      </c>
      <c r="H56" s="49">
        <f>E46</f>
        <v>153.75</v>
      </c>
      <c r="I56" s="49">
        <f>E88</f>
        <v>40</v>
      </c>
      <c r="J56" s="49">
        <f>E120</f>
        <v>5</v>
      </c>
      <c r="M56" s="49">
        <f>E218</f>
        <v>2447.5</v>
      </c>
      <c r="N56" s="49">
        <f>E257</f>
        <v>105</v>
      </c>
      <c r="S56" s="49">
        <f t="shared" si="10"/>
        <v>2751.25</v>
      </c>
    </row>
    <row r="57" spans="1:19" x14ac:dyDescent="0.2">
      <c r="A57" s="12" t="s">
        <v>11</v>
      </c>
      <c r="B57" s="11"/>
      <c r="D57" s="85"/>
      <c r="E57" s="49"/>
      <c r="G57" s="62" t="s">
        <v>210</v>
      </c>
      <c r="H57" s="49">
        <f>E49</f>
        <v>10</v>
      </c>
      <c r="N57" s="49">
        <f>E261</f>
        <v>90</v>
      </c>
      <c r="S57" s="49">
        <f t="shared" si="10"/>
        <v>100</v>
      </c>
    </row>
    <row r="58" spans="1:19" x14ac:dyDescent="0.2">
      <c r="A58" s="15" t="s">
        <v>12</v>
      </c>
      <c r="B58" s="16" t="s">
        <v>7</v>
      </c>
      <c r="C58" s="166">
        <v>0.5</v>
      </c>
      <c r="D58" s="85">
        <f>$H$7</f>
        <v>2500</v>
      </c>
      <c r="E58" s="49">
        <f>C58*D58</f>
        <v>1250</v>
      </c>
      <c r="G58" s="62" t="s">
        <v>152</v>
      </c>
      <c r="S58"/>
    </row>
    <row r="59" spans="1:19" x14ac:dyDescent="0.2">
      <c r="A59" s="19" t="s">
        <v>13</v>
      </c>
      <c r="B59" s="16" t="s">
        <v>7</v>
      </c>
      <c r="C59" s="166">
        <v>0.2</v>
      </c>
      <c r="D59" s="85">
        <f>$H$8</f>
        <v>1250</v>
      </c>
      <c r="E59" s="49">
        <f>C59*D59</f>
        <v>250</v>
      </c>
      <c r="G59" s="62" t="s">
        <v>153</v>
      </c>
      <c r="S59"/>
    </row>
    <row r="60" spans="1:19" x14ac:dyDescent="0.2">
      <c r="B60" s="11"/>
      <c r="D60" s="85"/>
      <c r="E60" s="49"/>
      <c r="G60" s="62" t="s">
        <v>154</v>
      </c>
      <c r="S60"/>
    </row>
    <row r="61" spans="1:19" ht="20" x14ac:dyDescent="0.2">
      <c r="A61" s="22" t="s">
        <v>224</v>
      </c>
      <c r="B61" s="11"/>
      <c r="D61" s="85"/>
      <c r="E61" s="172">
        <f>45000</f>
        <v>45000</v>
      </c>
      <c r="G61" s="62" t="s">
        <v>155</v>
      </c>
      <c r="S61"/>
    </row>
    <row r="62" spans="1:19" x14ac:dyDescent="0.2">
      <c r="B62" s="11"/>
      <c r="D62" s="85"/>
      <c r="E62" s="49"/>
      <c r="G62" s="63" t="s">
        <v>156</v>
      </c>
      <c r="H62" s="102">
        <f t="shared" ref="H62:S62" si="11">SUM(H48:H61)</f>
        <v>2405.0500000000002</v>
      </c>
      <c r="I62" s="102">
        <f t="shared" si="11"/>
        <v>2576</v>
      </c>
      <c r="J62" s="102">
        <f t="shared" si="11"/>
        <v>1620</v>
      </c>
      <c r="K62" s="102">
        <f t="shared" si="11"/>
        <v>1100</v>
      </c>
      <c r="L62" s="102">
        <f t="shared" si="11"/>
        <v>11</v>
      </c>
      <c r="M62" s="102">
        <f t="shared" si="11"/>
        <v>2623.4250000000002</v>
      </c>
      <c r="N62" s="102">
        <f t="shared" si="11"/>
        <v>1515</v>
      </c>
      <c r="O62" s="102">
        <f t="shared" si="11"/>
        <v>550</v>
      </c>
      <c r="P62" s="102">
        <f t="shared" si="11"/>
        <v>550</v>
      </c>
      <c r="Q62" s="102">
        <f t="shared" si="11"/>
        <v>330</v>
      </c>
      <c r="R62" s="102">
        <f t="shared" si="11"/>
        <v>330</v>
      </c>
      <c r="S62" s="102">
        <f t="shared" si="11"/>
        <v>13610.475</v>
      </c>
    </row>
    <row r="63" spans="1:19" ht="19" x14ac:dyDescent="0.25">
      <c r="A63" s="25" t="s">
        <v>37</v>
      </c>
      <c r="B63" s="11"/>
      <c r="D63" s="85"/>
      <c r="E63" s="49"/>
      <c r="G63" s="64" t="s">
        <v>157</v>
      </c>
      <c r="H63" s="99">
        <f>H44-H62</f>
        <v>15144.95</v>
      </c>
      <c r="I63" s="99">
        <f t="shared" ref="I63:S63" si="12">I44-I62</f>
        <v>574</v>
      </c>
      <c r="J63" s="99">
        <f t="shared" si="12"/>
        <v>945</v>
      </c>
      <c r="K63" s="99">
        <f t="shared" si="12"/>
        <v>-1100</v>
      </c>
      <c r="L63" s="99">
        <f t="shared" si="12"/>
        <v>11.125</v>
      </c>
      <c r="M63" s="99">
        <f t="shared" si="12"/>
        <v>7776.5749999999998</v>
      </c>
      <c r="N63" s="99">
        <f t="shared" si="12"/>
        <v>2325</v>
      </c>
      <c r="O63" s="99">
        <f t="shared" si="12"/>
        <v>-550</v>
      </c>
      <c r="P63" s="99">
        <f t="shared" si="12"/>
        <v>-421</v>
      </c>
      <c r="Q63" s="99">
        <f t="shared" si="12"/>
        <v>199</v>
      </c>
      <c r="R63" s="99">
        <f t="shared" si="12"/>
        <v>-252.3</v>
      </c>
      <c r="S63" s="99">
        <f t="shared" si="12"/>
        <v>24652.35</v>
      </c>
    </row>
    <row r="64" spans="1:19" x14ac:dyDescent="0.2">
      <c r="A64" s="14" t="s">
        <v>10</v>
      </c>
      <c r="B64" s="11"/>
      <c r="D64" s="85"/>
      <c r="E64" s="49"/>
      <c r="G64" s="65" t="s">
        <v>158</v>
      </c>
      <c r="S64"/>
    </row>
    <row r="65" spans="1:20" x14ac:dyDescent="0.2">
      <c r="A65" t="s">
        <v>38</v>
      </c>
      <c r="B65" s="11" t="s">
        <v>6</v>
      </c>
      <c r="C65" s="166">
        <v>900</v>
      </c>
      <c r="D65" s="85">
        <f>K7</f>
        <v>3.5</v>
      </c>
      <c r="E65" s="49">
        <f t="shared" ref="E65" si="13">C65*D65</f>
        <v>3150</v>
      </c>
      <c r="G65" s="66" t="s">
        <v>159</v>
      </c>
      <c r="S65"/>
    </row>
    <row r="66" spans="1:20" x14ac:dyDescent="0.2">
      <c r="A66" t="s">
        <v>235</v>
      </c>
      <c r="B66" s="11" t="s">
        <v>6</v>
      </c>
      <c r="C66" s="166">
        <v>30</v>
      </c>
      <c r="D66" s="85">
        <v>0</v>
      </c>
      <c r="E66" s="49">
        <f>C66*D66</f>
        <v>0</v>
      </c>
      <c r="G66" s="67" t="s">
        <v>160</v>
      </c>
      <c r="S66"/>
    </row>
    <row r="67" spans="1:20" x14ac:dyDescent="0.2">
      <c r="A67" t="s">
        <v>236</v>
      </c>
      <c r="B67" s="11" t="s">
        <v>6</v>
      </c>
      <c r="C67" s="166">
        <v>11</v>
      </c>
      <c r="D67" s="85">
        <v>0</v>
      </c>
      <c r="E67" s="49">
        <f>C67*D67</f>
        <v>0</v>
      </c>
      <c r="G67" s="62" t="s">
        <v>161</v>
      </c>
      <c r="H67" s="49">
        <f>E58</f>
        <v>1250</v>
      </c>
      <c r="I67" s="49">
        <f>E96</f>
        <v>750</v>
      </c>
      <c r="J67" s="49">
        <f>E128</f>
        <v>500</v>
      </c>
      <c r="K67" s="49">
        <f>E164</f>
        <v>500</v>
      </c>
      <c r="L67" s="49">
        <f>E193</f>
        <v>125</v>
      </c>
      <c r="M67" s="49">
        <f>E229</f>
        <v>125</v>
      </c>
      <c r="N67" s="49">
        <f>E277</f>
        <v>500</v>
      </c>
      <c r="O67" s="49">
        <f>E300</f>
        <v>250</v>
      </c>
      <c r="P67" s="49">
        <f>E326</f>
        <v>250</v>
      </c>
      <c r="Q67" s="49">
        <f>E350</f>
        <v>125</v>
      </c>
      <c r="R67" s="49">
        <f>E383</f>
        <v>125</v>
      </c>
      <c r="S67" s="49">
        <f t="shared" ref="S67:S68" si="14">SUM(H67:R67)</f>
        <v>4500</v>
      </c>
    </row>
    <row r="68" spans="1:20" x14ac:dyDescent="0.2">
      <c r="A68" t="s">
        <v>39</v>
      </c>
      <c r="B68" s="11" t="s">
        <v>40</v>
      </c>
      <c r="C68" s="166">
        <v>132</v>
      </c>
      <c r="D68" s="85">
        <v>0</v>
      </c>
      <c r="E68" s="49">
        <f>C68*D68</f>
        <v>0</v>
      </c>
      <c r="G68" s="62" t="s">
        <v>162</v>
      </c>
      <c r="H68" s="49">
        <f>E59</f>
        <v>250</v>
      </c>
      <c r="I68" s="49">
        <f>E97</f>
        <v>125</v>
      </c>
      <c r="J68" s="49">
        <f>E129</f>
        <v>125</v>
      </c>
      <c r="K68" s="49">
        <f>E165</f>
        <v>125</v>
      </c>
      <c r="L68" s="49">
        <f>E194</f>
        <v>25</v>
      </c>
      <c r="M68" s="49">
        <f>E230</f>
        <v>25</v>
      </c>
      <c r="N68" s="49">
        <f>E278</f>
        <v>125</v>
      </c>
      <c r="O68" s="49">
        <f>E301</f>
        <v>62.5</v>
      </c>
      <c r="P68" s="49">
        <f>E327</f>
        <v>62.5</v>
      </c>
      <c r="Q68" s="49">
        <f>E351</f>
        <v>62.5</v>
      </c>
      <c r="R68" s="49">
        <f>E384</f>
        <v>62.5</v>
      </c>
      <c r="S68" s="49">
        <f t="shared" si="14"/>
        <v>1050</v>
      </c>
    </row>
    <row r="69" spans="1:20" x14ac:dyDescent="0.2">
      <c r="A69" s="21" t="s">
        <v>22</v>
      </c>
      <c r="B69" s="11"/>
      <c r="C69">
        <f>SUM(C65:C68)</f>
        <v>1073</v>
      </c>
      <c r="D69" s="85"/>
      <c r="E69" s="49"/>
      <c r="G69" s="62" t="s">
        <v>163</v>
      </c>
      <c r="S69"/>
      <c r="T69" s="49">
        <f t="shared" ref="T69" si="15">SUM(T55:T68)</f>
        <v>0</v>
      </c>
    </row>
    <row r="70" spans="1:20" x14ac:dyDescent="0.2">
      <c r="A70" s="36"/>
      <c r="B70" s="11"/>
      <c r="D70" s="85"/>
      <c r="E70" s="49"/>
      <c r="G70" s="66" t="s">
        <v>149</v>
      </c>
      <c r="S70"/>
    </row>
    <row r="71" spans="1:20" x14ac:dyDescent="0.2">
      <c r="A71" s="14" t="s">
        <v>18</v>
      </c>
      <c r="B71"/>
      <c r="D71" s="85"/>
      <c r="E71" s="49"/>
      <c r="G71" s="66" t="s">
        <v>150</v>
      </c>
      <c r="S71"/>
    </row>
    <row r="72" spans="1:20" x14ac:dyDescent="0.2">
      <c r="A72" t="s">
        <v>355</v>
      </c>
      <c r="B72" s="34" t="s">
        <v>20</v>
      </c>
      <c r="C72" s="202">
        <f>C88</f>
        <v>32</v>
      </c>
      <c r="D72" s="85">
        <v>0</v>
      </c>
      <c r="E72" s="49">
        <f t="shared" ref="E72" si="16">C72*D72</f>
        <v>0</v>
      </c>
      <c r="G72" s="66" t="s">
        <v>151</v>
      </c>
      <c r="S72"/>
    </row>
    <row r="73" spans="1:20" x14ac:dyDescent="0.2">
      <c r="A73" s="21" t="s">
        <v>26</v>
      </c>
      <c r="C73" s="29">
        <f>SUM(C72:C72)</f>
        <v>32</v>
      </c>
      <c r="D73" s="85"/>
      <c r="E73" s="49"/>
      <c r="G73" s="66" t="s">
        <v>164</v>
      </c>
      <c r="S73"/>
    </row>
    <row r="74" spans="1:20" x14ac:dyDescent="0.2">
      <c r="B74"/>
      <c r="D74" s="85"/>
      <c r="E74" s="49"/>
      <c r="G74" s="66" t="s">
        <v>165</v>
      </c>
      <c r="S74"/>
    </row>
    <row r="75" spans="1:20" ht="19" x14ac:dyDescent="0.25">
      <c r="A75" s="25" t="s">
        <v>41</v>
      </c>
      <c r="B75" s="11"/>
      <c r="D75" s="85"/>
      <c r="E75" s="49"/>
      <c r="G75" s="66" t="s">
        <v>166</v>
      </c>
      <c r="S75"/>
    </row>
    <row r="76" spans="1:20" ht="19" x14ac:dyDescent="0.25">
      <c r="A76" s="30" t="s">
        <v>122</v>
      </c>
      <c r="B76" s="11"/>
      <c r="D76" s="85"/>
      <c r="E76" s="49"/>
      <c r="G76" s="66" t="s">
        <v>167</v>
      </c>
      <c r="H76" s="49">
        <f>H26/$C$6/12</f>
        <v>750</v>
      </c>
      <c r="I76" s="49">
        <f t="shared" ref="I76:R76" si="17">I26/$C$6/12</f>
        <v>187.5</v>
      </c>
      <c r="J76" s="49">
        <f t="shared" si="17"/>
        <v>145.83333333333334</v>
      </c>
      <c r="K76" s="49">
        <f t="shared" si="17"/>
        <v>187.5</v>
      </c>
      <c r="L76" s="49">
        <f t="shared" si="17"/>
        <v>125</v>
      </c>
      <c r="M76" s="49">
        <f t="shared" si="17"/>
        <v>5708.333333333333</v>
      </c>
      <c r="N76" s="49">
        <f t="shared" si="17"/>
        <v>375</v>
      </c>
      <c r="O76" s="49">
        <f t="shared" si="17"/>
        <v>70.833333333333329</v>
      </c>
      <c r="P76" s="49">
        <f t="shared" si="17"/>
        <v>14.583333333333334</v>
      </c>
      <c r="Q76" s="49">
        <f t="shared" si="17"/>
        <v>20.833333333333332</v>
      </c>
      <c r="R76" s="49">
        <f t="shared" si="17"/>
        <v>104.16666666666667</v>
      </c>
      <c r="S76" s="49">
        <f t="shared" ref="S76" si="18">SUM(H76:R76)</f>
        <v>7689.5833333333321</v>
      </c>
    </row>
    <row r="77" spans="1:20" x14ac:dyDescent="0.2">
      <c r="A77" s="14" t="s">
        <v>10</v>
      </c>
      <c r="B77" s="11"/>
      <c r="D77" s="85"/>
      <c r="E77" s="49"/>
      <c r="G77" s="68" t="s">
        <v>168</v>
      </c>
      <c r="H77" s="101">
        <f>SUM(H64:H76)</f>
        <v>2250</v>
      </c>
      <c r="I77" s="101">
        <f t="shared" ref="I77:S77" si="19">SUM(I64:I76)</f>
        <v>1062.5</v>
      </c>
      <c r="J77" s="101">
        <f t="shared" si="19"/>
        <v>770.83333333333337</v>
      </c>
      <c r="K77" s="101">
        <f t="shared" si="19"/>
        <v>812.5</v>
      </c>
      <c r="L77" s="101">
        <f t="shared" si="19"/>
        <v>275</v>
      </c>
      <c r="M77" s="101">
        <f t="shared" si="19"/>
        <v>5858.333333333333</v>
      </c>
      <c r="N77" s="101">
        <f t="shared" si="19"/>
        <v>1000</v>
      </c>
      <c r="O77" s="101">
        <f t="shared" si="19"/>
        <v>383.33333333333331</v>
      </c>
      <c r="P77" s="101">
        <f t="shared" si="19"/>
        <v>327.08333333333331</v>
      </c>
      <c r="Q77" s="101">
        <f t="shared" si="19"/>
        <v>208.33333333333334</v>
      </c>
      <c r="R77" s="101">
        <f t="shared" si="19"/>
        <v>291.66666666666669</v>
      </c>
      <c r="S77" s="101">
        <f t="shared" si="19"/>
        <v>13239.583333333332</v>
      </c>
    </row>
    <row r="78" spans="1:20" ht="18" x14ac:dyDescent="0.2">
      <c r="A78" t="s">
        <v>42</v>
      </c>
      <c r="B78" s="11" t="s">
        <v>6</v>
      </c>
      <c r="C78" s="215">
        <f>C359</f>
        <v>620</v>
      </c>
      <c r="D78" s="85">
        <v>0.05</v>
      </c>
      <c r="E78" s="49">
        <f t="shared" ref="E78:E82" si="20">C78*D78</f>
        <v>31</v>
      </c>
      <c r="G78" s="64" t="s">
        <v>169</v>
      </c>
      <c r="H78" s="99">
        <f>H63-H77</f>
        <v>12894.95</v>
      </c>
      <c r="I78" s="99">
        <f t="shared" ref="I78:S78" si="21">I63-I77</f>
        <v>-488.5</v>
      </c>
      <c r="J78" s="99">
        <f t="shared" si="21"/>
        <v>174.16666666666663</v>
      </c>
      <c r="K78" s="99">
        <f t="shared" si="21"/>
        <v>-1912.5</v>
      </c>
      <c r="L78" s="99">
        <f t="shared" si="21"/>
        <v>-263.875</v>
      </c>
      <c r="M78" s="99">
        <f t="shared" si="21"/>
        <v>1918.2416666666668</v>
      </c>
      <c r="N78" s="99">
        <f t="shared" si="21"/>
        <v>1325</v>
      </c>
      <c r="O78" s="99">
        <f t="shared" si="21"/>
        <v>-933.33333333333326</v>
      </c>
      <c r="P78" s="99">
        <f t="shared" si="21"/>
        <v>-748.08333333333326</v>
      </c>
      <c r="Q78" s="99">
        <f t="shared" si="21"/>
        <v>-9.3333333333333428</v>
      </c>
      <c r="R78" s="99">
        <f t="shared" si="21"/>
        <v>-543.9666666666667</v>
      </c>
      <c r="S78" s="99">
        <f t="shared" si="21"/>
        <v>11412.766666666666</v>
      </c>
    </row>
    <row r="79" spans="1:20" x14ac:dyDescent="0.2">
      <c r="A79" t="s">
        <v>43</v>
      </c>
      <c r="B79" s="11" t="s">
        <v>6</v>
      </c>
      <c r="C79" s="202">
        <f>C17</f>
        <v>100</v>
      </c>
      <c r="D79" s="85">
        <v>0</v>
      </c>
      <c r="E79" s="49">
        <f t="shared" si="20"/>
        <v>0</v>
      </c>
      <c r="G79" s="69" t="s">
        <v>170</v>
      </c>
      <c r="S79" s="100">
        <f>S78*$C$7/100</f>
        <v>456.51066666666668</v>
      </c>
    </row>
    <row r="80" spans="1:20" ht="18" x14ac:dyDescent="0.2">
      <c r="A80" t="s">
        <v>44</v>
      </c>
      <c r="B80" s="11" t="s">
        <v>40</v>
      </c>
      <c r="C80" s="216">
        <v>328</v>
      </c>
      <c r="D80" s="85">
        <f>O6</f>
        <v>2.5</v>
      </c>
      <c r="E80" s="49">
        <f>C80*D80</f>
        <v>820</v>
      </c>
      <c r="G80" s="64" t="s">
        <v>171</v>
      </c>
      <c r="S80" s="99">
        <f>S78-S79</f>
        <v>10956.255999999999</v>
      </c>
    </row>
    <row r="81" spans="1:19" ht="18" x14ac:dyDescent="0.2">
      <c r="A81" t="s">
        <v>237</v>
      </c>
      <c r="B81" s="11" t="s">
        <v>6</v>
      </c>
      <c r="C81" s="216">
        <v>8</v>
      </c>
      <c r="D81" s="85">
        <f>$K$15</f>
        <v>4</v>
      </c>
      <c r="E81" s="49">
        <f t="shared" ref="E81" si="22">C81*D81</f>
        <v>32</v>
      </c>
      <c r="G81" t="s">
        <v>172</v>
      </c>
      <c r="S81" s="49">
        <f>S76</f>
        <v>7689.5833333333321</v>
      </c>
    </row>
    <row r="82" spans="1:19" x14ac:dyDescent="0.2">
      <c r="A82" t="s">
        <v>56</v>
      </c>
      <c r="B82" s="11" t="s">
        <v>6</v>
      </c>
      <c r="C82" s="202">
        <f>C20</f>
        <v>5</v>
      </c>
      <c r="D82" s="85">
        <v>0</v>
      </c>
      <c r="E82" s="49">
        <f t="shared" si="20"/>
        <v>0</v>
      </c>
      <c r="G82" s="64" t="s">
        <v>173</v>
      </c>
      <c r="S82" s="99">
        <f>S80+S81</f>
        <v>18645.83933333333</v>
      </c>
    </row>
    <row r="83" spans="1:19" ht="18" x14ac:dyDescent="0.2">
      <c r="A83" t="s">
        <v>45</v>
      </c>
      <c r="B83" s="11" t="s">
        <v>6</v>
      </c>
      <c r="C83" s="216">
        <v>12</v>
      </c>
      <c r="D83" s="85">
        <f>$K$16</f>
        <v>0.25</v>
      </c>
      <c r="E83" s="49">
        <f>C83*D83</f>
        <v>3</v>
      </c>
      <c r="G83" s="70" t="s">
        <v>174</v>
      </c>
      <c r="S83"/>
    </row>
    <row r="84" spans="1:19" x14ac:dyDescent="0.2">
      <c r="A84" s="21" t="s">
        <v>24</v>
      </c>
      <c r="B84" s="11"/>
      <c r="C84" s="24">
        <f>SUM(C78:C83)</f>
        <v>1073</v>
      </c>
      <c r="D84" s="85"/>
      <c r="E84" s="49"/>
      <c r="G84" s="69" t="s">
        <v>167</v>
      </c>
      <c r="S84" s="100">
        <f>S81</f>
        <v>7689.5833333333321</v>
      </c>
    </row>
    <row r="85" spans="1:19" ht="17" thickBot="1" x14ac:dyDescent="0.25">
      <c r="B85" s="11"/>
      <c r="D85" s="85"/>
      <c r="E85" s="49"/>
      <c r="G85" s="71" t="s">
        <v>175</v>
      </c>
      <c r="S85">
        <v>0</v>
      </c>
    </row>
    <row r="86" spans="1:19" ht="17" thickBot="1" x14ac:dyDescent="0.25">
      <c r="A86" s="14" t="s">
        <v>18</v>
      </c>
      <c r="B86" s="11"/>
      <c r="D86" s="85"/>
      <c r="E86" s="49"/>
      <c r="G86" s="72" t="s">
        <v>176</v>
      </c>
      <c r="S86" s="99">
        <f>S82-S84</f>
        <v>10956.255999999998</v>
      </c>
    </row>
    <row r="87" spans="1:19" x14ac:dyDescent="0.2">
      <c r="A87" t="s">
        <v>46</v>
      </c>
      <c r="B87" s="11"/>
      <c r="D87" s="85"/>
      <c r="E87" s="49"/>
      <c r="G87" s="73" t="s">
        <v>177</v>
      </c>
    </row>
    <row r="88" spans="1:19" ht="18" x14ac:dyDescent="0.2">
      <c r="A88" s="17" t="s">
        <v>47</v>
      </c>
      <c r="B88" s="11" t="s">
        <v>28</v>
      </c>
      <c r="C88" s="216">
        <v>32</v>
      </c>
      <c r="D88" s="85">
        <f>O7</f>
        <v>1.25</v>
      </c>
      <c r="E88" s="49">
        <f t="shared" ref="E88" si="23">C88*D88</f>
        <v>40</v>
      </c>
      <c r="G88" s="74" t="s">
        <v>173</v>
      </c>
      <c r="S88" s="99">
        <f>12*S86</f>
        <v>131475.07199999999</v>
      </c>
    </row>
    <row r="89" spans="1:19" x14ac:dyDescent="0.2">
      <c r="A89" s="21" t="s">
        <v>48</v>
      </c>
      <c r="B89" s="11"/>
      <c r="C89">
        <v>32</v>
      </c>
      <c r="D89" s="85"/>
      <c r="E89" s="49"/>
      <c r="G89" s="75" t="s">
        <v>178</v>
      </c>
      <c r="S89" s="97">
        <f>S26/S88</f>
        <v>14.03688145536821</v>
      </c>
    </row>
    <row r="90" spans="1:19" x14ac:dyDescent="0.2">
      <c r="B90" s="11"/>
      <c r="D90" s="85"/>
      <c r="E90" s="49"/>
      <c r="G90" s="75" t="s">
        <v>222</v>
      </c>
      <c r="S90" s="98">
        <f>S26/(S82*12)</f>
        <v>8.2480420386188769</v>
      </c>
    </row>
    <row r="91" spans="1:19" x14ac:dyDescent="0.2">
      <c r="A91" s="12" t="s">
        <v>29</v>
      </c>
      <c r="B91" s="11"/>
      <c r="D91" s="85"/>
      <c r="E91" s="49"/>
    </row>
    <row r="92" spans="1:19" x14ac:dyDescent="0.2">
      <c r="A92" s="15" t="s">
        <v>21</v>
      </c>
      <c r="B92" s="16" t="s">
        <v>7</v>
      </c>
      <c r="C92" s="166">
        <v>1.5</v>
      </c>
      <c r="D92" s="85">
        <f>$H$6</f>
        <v>1100</v>
      </c>
      <c r="E92" s="49">
        <f>C92*D92</f>
        <v>1650</v>
      </c>
    </row>
    <row r="93" spans="1:19" x14ac:dyDescent="0.2">
      <c r="D93" s="85"/>
      <c r="E93" s="49"/>
    </row>
    <row r="94" spans="1:19" ht="19" x14ac:dyDescent="0.25">
      <c r="A94" s="30" t="s">
        <v>123</v>
      </c>
      <c r="D94" s="85"/>
      <c r="E94" s="49"/>
    </row>
    <row r="95" spans="1:19" x14ac:dyDescent="0.2">
      <c r="A95" s="12" t="s">
        <v>11</v>
      </c>
      <c r="B95" s="11"/>
      <c r="D95" s="85"/>
      <c r="E95" s="49"/>
    </row>
    <row r="96" spans="1:19" x14ac:dyDescent="0.2">
      <c r="A96" s="15" t="s">
        <v>12</v>
      </c>
      <c r="B96" s="16" t="s">
        <v>7</v>
      </c>
      <c r="C96" s="166">
        <v>0.3</v>
      </c>
      <c r="D96" s="85">
        <f>$H$7</f>
        <v>2500</v>
      </c>
      <c r="E96" s="49">
        <f>C96*D96</f>
        <v>750</v>
      </c>
    </row>
    <row r="97" spans="1:19" x14ac:dyDescent="0.2">
      <c r="A97" s="19" t="s">
        <v>13</v>
      </c>
      <c r="B97" s="16" t="s">
        <v>7</v>
      </c>
      <c r="C97" s="166">
        <v>0.1</v>
      </c>
      <c r="D97" s="85">
        <f>$H$8</f>
        <v>1250</v>
      </c>
      <c r="E97" s="49">
        <f>C97*D97</f>
        <v>125</v>
      </c>
    </row>
    <row r="98" spans="1:19" x14ac:dyDescent="0.2">
      <c r="B98" s="11"/>
      <c r="D98" s="85"/>
      <c r="E98" s="49"/>
    </row>
    <row r="99" spans="1:19" ht="20" x14ac:dyDescent="0.2">
      <c r="A99" s="37" t="s">
        <v>225</v>
      </c>
      <c r="B99" s="28"/>
      <c r="C99" s="24"/>
      <c r="D99" s="85"/>
      <c r="E99" s="172">
        <f>35000</f>
        <v>35000</v>
      </c>
    </row>
    <row r="100" spans="1:19" x14ac:dyDescent="0.2">
      <c r="A100" s="24"/>
      <c r="B100" s="28"/>
      <c r="C100" s="24"/>
      <c r="D100" s="85"/>
      <c r="E100" s="49"/>
    </row>
    <row r="101" spans="1:19" ht="19" x14ac:dyDescent="0.25">
      <c r="A101" s="25" t="s">
        <v>51</v>
      </c>
      <c r="B101" s="28"/>
      <c r="C101" s="24"/>
      <c r="D101" s="85"/>
    </row>
    <row r="102" spans="1:19" x14ac:dyDescent="0.2">
      <c r="A102" s="14" t="s">
        <v>10</v>
      </c>
      <c r="B102" s="28"/>
      <c r="C102" s="24"/>
      <c r="D102" s="85"/>
      <c r="E102" s="49"/>
      <c r="S102"/>
    </row>
    <row r="103" spans="1:19" x14ac:dyDescent="0.2">
      <c r="A103" s="24" t="s">
        <v>52</v>
      </c>
      <c r="B103" s="28" t="s">
        <v>6</v>
      </c>
      <c r="C103" s="167">
        <v>342</v>
      </c>
      <c r="D103" s="85">
        <f>K8</f>
        <v>7.5</v>
      </c>
      <c r="E103" s="49">
        <f t="shared" ref="E103:E105" si="24">C103*D103</f>
        <v>2565</v>
      </c>
    </row>
    <row r="104" spans="1:19" x14ac:dyDescent="0.2">
      <c r="A104" s="24" t="s">
        <v>53</v>
      </c>
      <c r="B104" s="28" t="s">
        <v>6</v>
      </c>
      <c r="C104" s="167">
        <v>18</v>
      </c>
      <c r="D104" s="85">
        <v>0</v>
      </c>
      <c r="E104" s="49">
        <f t="shared" si="24"/>
        <v>0</v>
      </c>
    </row>
    <row r="105" spans="1:19" x14ac:dyDescent="0.2">
      <c r="A105" s="24" t="s">
        <v>54</v>
      </c>
      <c r="B105" s="28" t="s">
        <v>6</v>
      </c>
      <c r="C105" s="167">
        <v>1435</v>
      </c>
      <c r="D105" s="85">
        <v>0</v>
      </c>
      <c r="E105" s="49">
        <f t="shared" si="24"/>
        <v>0</v>
      </c>
    </row>
    <row r="106" spans="1:19" x14ac:dyDescent="0.2">
      <c r="A106" s="21" t="s">
        <v>22</v>
      </c>
      <c r="B106" s="28"/>
      <c r="C106" s="24">
        <f>SUM(C103:C105)</f>
        <v>1795</v>
      </c>
      <c r="D106" s="85"/>
      <c r="E106" s="49"/>
    </row>
    <row r="107" spans="1:19" x14ac:dyDescent="0.2">
      <c r="A107" s="24"/>
      <c r="B107" s="28"/>
      <c r="C107" s="24"/>
      <c r="D107" s="85"/>
      <c r="E107" s="49"/>
    </row>
    <row r="108" spans="1:19" ht="19" x14ac:dyDescent="0.25">
      <c r="A108" s="25" t="s">
        <v>55</v>
      </c>
      <c r="B108" s="28"/>
      <c r="C108" s="24"/>
      <c r="D108" s="85"/>
      <c r="E108" s="49"/>
    </row>
    <row r="109" spans="1:19" ht="19" x14ac:dyDescent="0.25">
      <c r="A109" s="30" t="s">
        <v>122</v>
      </c>
      <c r="B109" s="28"/>
      <c r="C109" s="24"/>
      <c r="D109" s="85"/>
      <c r="E109" s="49"/>
    </row>
    <row r="110" spans="1:19" x14ac:dyDescent="0.2">
      <c r="A110" s="14" t="s">
        <v>10</v>
      </c>
      <c r="B110" s="28"/>
      <c r="C110" s="24"/>
      <c r="D110" s="85"/>
      <c r="E110" s="49"/>
    </row>
    <row r="111" spans="1:19" x14ac:dyDescent="0.2">
      <c r="A111" s="24" t="s">
        <v>43</v>
      </c>
      <c r="B111" s="28" t="s">
        <v>6</v>
      </c>
      <c r="C111" s="204">
        <f>C18</f>
        <v>620</v>
      </c>
      <c r="D111" s="85">
        <v>0</v>
      </c>
      <c r="E111" s="49">
        <f t="shared" ref="E111:E115" si="25">C111*D111</f>
        <v>0</v>
      </c>
    </row>
    <row r="112" spans="1:19" x14ac:dyDescent="0.2">
      <c r="A112" s="24" t="s">
        <v>56</v>
      </c>
      <c r="B112" s="28" t="s">
        <v>6</v>
      </c>
      <c r="C112" s="204">
        <f>C21</f>
        <v>25</v>
      </c>
      <c r="D112" s="85">
        <v>0</v>
      </c>
      <c r="E112" s="49">
        <f t="shared" si="25"/>
        <v>0</v>
      </c>
    </row>
    <row r="113" spans="1:19" x14ac:dyDescent="0.2">
      <c r="A113" s="24" t="s">
        <v>57</v>
      </c>
      <c r="B113" s="28" t="s">
        <v>6</v>
      </c>
      <c r="C113" s="204">
        <f>C362</f>
        <v>568</v>
      </c>
      <c r="D113" s="85">
        <v>0</v>
      </c>
      <c r="E113" s="49">
        <f t="shared" si="25"/>
        <v>0</v>
      </c>
    </row>
    <row r="114" spans="1:19" x14ac:dyDescent="0.2">
      <c r="A114" s="24" t="s">
        <v>58</v>
      </c>
      <c r="B114" s="28" t="s">
        <v>40</v>
      </c>
      <c r="C114" s="205">
        <f>C24</f>
        <v>479</v>
      </c>
      <c r="D114" s="85">
        <v>0</v>
      </c>
      <c r="E114" s="49">
        <f t="shared" si="25"/>
        <v>0</v>
      </c>
    </row>
    <row r="115" spans="1:19" ht="18" x14ac:dyDescent="0.2">
      <c r="A115" s="24" t="s">
        <v>358</v>
      </c>
      <c r="B115" s="28" t="s">
        <v>6</v>
      </c>
      <c r="C115" s="217">
        <v>103</v>
      </c>
      <c r="D115" s="85">
        <f>$K$17</f>
        <v>5</v>
      </c>
      <c r="E115" s="49">
        <f t="shared" si="25"/>
        <v>515</v>
      </c>
    </row>
    <row r="116" spans="1:19" x14ac:dyDescent="0.2">
      <c r="A116" s="21" t="s">
        <v>24</v>
      </c>
      <c r="B116" s="28"/>
      <c r="C116" s="24">
        <f>SUM(C111:C115)</f>
        <v>1795</v>
      </c>
      <c r="D116" s="85"/>
      <c r="E116" s="49"/>
    </row>
    <row r="117" spans="1:19" x14ac:dyDescent="0.2">
      <c r="A117" s="24"/>
      <c r="B117" s="28"/>
      <c r="C117" s="24"/>
      <c r="D117" s="85"/>
      <c r="E117" s="49"/>
    </row>
    <row r="118" spans="1:19" x14ac:dyDescent="0.2">
      <c r="A118" s="14" t="s">
        <v>18</v>
      </c>
      <c r="B118" s="28"/>
      <c r="C118" s="24"/>
      <c r="D118" s="85"/>
      <c r="E118" s="49"/>
    </row>
    <row r="119" spans="1:19" x14ac:dyDescent="0.2">
      <c r="A119" s="24" t="s">
        <v>46</v>
      </c>
      <c r="B119" s="28"/>
      <c r="C119" s="24"/>
      <c r="D119" s="85"/>
      <c r="E119" s="49"/>
    </row>
    <row r="120" spans="1:19" ht="18" x14ac:dyDescent="0.2">
      <c r="A120" s="24" t="s">
        <v>47</v>
      </c>
      <c r="B120" s="28" t="s">
        <v>28</v>
      </c>
      <c r="C120" s="217">
        <v>4</v>
      </c>
      <c r="D120" s="85">
        <f>O7</f>
        <v>1.25</v>
      </c>
      <c r="E120" s="49">
        <f t="shared" ref="E120" si="26">C120*D120</f>
        <v>5</v>
      </c>
      <c r="S120"/>
    </row>
    <row r="121" spans="1:19" x14ac:dyDescent="0.2">
      <c r="A121" s="21" t="s">
        <v>48</v>
      </c>
      <c r="B121" s="28"/>
      <c r="C121" s="24">
        <f>SUM(C120)</f>
        <v>4</v>
      </c>
      <c r="D121" s="85"/>
      <c r="E121" s="49"/>
      <c r="S121"/>
    </row>
    <row r="122" spans="1:19" x14ac:dyDescent="0.2">
      <c r="A122" s="24"/>
      <c r="B122" s="28"/>
      <c r="C122" s="24"/>
      <c r="D122" s="85"/>
      <c r="E122" s="49"/>
      <c r="S122"/>
    </row>
    <row r="123" spans="1:19" x14ac:dyDescent="0.2">
      <c r="A123" s="12" t="s">
        <v>29</v>
      </c>
      <c r="B123" s="11"/>
      <c r="C123" s="24"/>
      <c r="D123" s="85"/>
      <c r="E123" s="49"/>
      <c r="S123"/>
    </row>
    <row r="124" spans="1:19" x14ac:dyDescent="0.2">
      <c r="A124" s="15" t="s">
        <v>21</v>
      </c>
      <c r="B124" s="16" t="s">
        <v>7</v>
      </c>
      <c r="C124" s="167">
        <v>1</v>
      </c>
      <c r="D124" s="85">
        <f>$H$6</f>
        <v>1100</v>
      </c>
      <c r="E124" s="49">
        <f>C124*D124</f>
        <v>1100</v>
      </c>
      <c r="S124"/>
    </row>
    <row r="125" spans="1:19" x14ac:dyDescent="0.2">
      <c r="C125" s="24"/>
      <c r="D125" s="85"/>
      <c r="E125" s="49"/>
      <c r="S125"/>
    </row>
    <row r="126" spans="1:19" ht="19" x14ac:dyDescent="0.25">
      <c r="A126" s="30" t="s">
        <v>123</v>
      </c>
      <c r="C126" s="24"/>
      <c r="D126" s="85"/>
      <c r="E126" s="49"/>
      <c r="S126"/>
    </row>
    <row r="127" spans="1:19" x14ac:dyDescent="0.2">
      <c r="A127" s="12" t="s">
        <v>11</v>
      </c>
      <c r="B127" s="11"/>
      <c r="C127" s="24"/>
      <c r="D127" s="85"/>
      <c r="E127" s="49"/>
      <c r="S127"/>
    </row>
    <row r="128" spans="1:19" x14ac:dyDescent="0.2">
      <c r="A128" s="15" t="s">
        <v>12</v>
      </c>
      <c r="B128" s="16" t="s">
        <v>7</v>
      </c>
      <c r="C128" s="167">
        <v>0.2</v>
      </c>
      <c r="D128" s="85">
        <f>$H$7</f>
        <v>2500</v>
      </c>
      <c r="E128" s="49">
        <f>C128*D128</f>
        <v>500</v>
      </c>
      <c r="S128"/>
    </row>
    <row r="129" spans="1:19" x14ac:dyDescent="0.2">
      <c r="A129" s="19" t="s">
        <v>13</v>
      </c>
      <c r="B129" s="16" t="s">
        <v>7</v>
      </c>
      <c r="C129" s="166">
        <v>0.1</v>
      </c>
      <c r="D129" s="85">
        <f>$H$8</f>
        <v>1250</v>
      </c>
      <c r="E129" s="49">
        <f>C129*D129</f>
        <v>125</v>
      </c>
      <c r="S129"/>
    </row>
    <row r="130" spans="1:19" x14ac:dyDescent="0.2">
      <c r="A130" s="24"/>
      <c r="B130" s="24"/>
      <c r="C130" s="24"/>
      <c r="D130" s="85"/>
      <c r="E130" s="49"/>
      <c r="S130"/>
    </row>
    <row r="131" spans="1:19" ht="20" x14ac:dyDescent="0.2">
      <c r="A131" s="38" t="s">
        <v>226</v>
      </c>
      <c r="B131" s="11"/>
      <c r="D131" s="85"/>
      <c r="E131" s="172">
        <f>45000</f>
        <v>45000</v>
      </c>
      <c r="S131"/>
    </row>
    <row r="132" spans="1:19" x14ac:dyDescent="0.2">
      <c r="B132" s="11"/>
      <c r="D132" s="85"/>
      <c r="E132" s="49"/>
      <c r="S132"/>
    </row>
    <row r="133" spans="1:19" ht="19" x14ac:dyDescent="0.25">
      <c r="A133" s="25" t="s">
        <v>59</v>
      </c>
      <c r="B133" s="11"/>
      <c r="D133" s="85"/>
      <c r="E133" s="49"/>
      <c r="S133"/>
    </row>
    <row r="134" spans="1:19" x14ac:dyDescent="0.2">
      <c r="A134" s="14" t="s">
        <v>10</v>
      </c>
      <c r="B134" s="11"/>
      <c r="D134" s="85"/>
      <c r="E134" s="49"/>
      <c r="S134"/>
    </row>
    <row r="135" spans="1:19" x14ac:dyDescent="0.2">
      <c r="A135" t="s">
        <v>60</v>
      </c>
      <c r="B135" s="11" t="s">
        <v>28</v>
      </c>
      <c r="C135" s="166">
        <v>83</v>
      </c>
      <c r="D135" s="85">
        <v>0</v>
      </c>
      <c r="E135" s="49">
        <f t="shared" ref="E135:E137" si="27">C135*D135</f>
        <v>0</v>
      </c>
    </row>
    <row r="136" spans="1:19" x14ac:dyDescent="0.2">
      <c r="A136" t="s">
        <v>61</v>
      </c>
      <c r="B136" s="11" t="s">
        <v>6</v>
      </c>
      <c r="C136" s="166">
        <v>1233</v>
      </c>
      <c r="D136" s="85">
        <v>0</v>
      </c>
      <c r="E136" s="49">
        <f t="shared" si="27"/>
        <v>0</v>
      </c>
    </row>
    <row r="137" spans="1:19" x14ac:dyDescent="0.2">
      <c r="A137" t="s">
        <v>62</v>
      </c>
      <c r="B137" s="11" t="s">
        <v>6</v>
      </c>
      <c r="C137" s="166">
        <v>400</v>
      </c>
      <c r="D137" s="85">
        <v>0</v>
      </c>
      <c r="E137" s="49">
        <f t="shared" si="27"/>
        <v>0</v>
      </c>
    </row>
    <row r="138" spans="1:19" x14ac:dyDescent="0.2">
      <c r="A138" s="21" t="s">
        <v>22</v>
      </c>
      <c r="B138" s="11"/>
      <c r="C138">
        <f>SUM(C135:C137)</f>
        <v>1716</v>
      </c>
      <c r="D138" s="85"/>
      <c r="E138" s="49"/>
    </row>
    <row r="139" spans="1:19" x14ac:dyDescent="0.2">
      <c r="B139" s="11"/>
      <c r="D139" s="85"/>
      <c r="E139" s="49"/>
    </row>
    <row r="140" spans="1:19" ht="19" x14ac:dyDescent="0.25">
      <c r="A140" s="25" t="s">
        <v>63</v>
      </c>
      <c r="B140" s="11"/>
      <c r="D140" s="85"/>
      <c r="E140" s="49"/>
    </row>
    <row r="141" spans="1:19" ht="19" x14ac:dyDescent="0.25">
      <c r="A141" s="30" t="s">
        <v>122</v>
      </c>
      <c r="B141" s="11"/>
      <c r="D141" s="85"/>
      <c r="E141" s="49"/>
    </row>
    <row r="142" spans="1:19" x14ac:dyDescent="0.2">
      <c r="A142" s="14" t="s">
        <v>10</v>
      </c>
      <c r="B142" s="11"/>
      <c r="D142" s="85"/>
      <c r="E142" s="49"/>
    </row>
    <row r="143" spans="1:19" x14ac:dyDescent="0.2">
      <c r="A143" t="s">
        <v>64</v>
      </c>
      <c r="B143" s="11" t="s">
        <v>6</v>
      </c>
      <c r="C143" s="202">
        <f>C19</f>
        <v>18</v>
      </c>
      <c r="D143" s="85">
        <v>0</v>
      </c>
      <c r="E143" s="49">
        <f t="shared" ref="E143:E149" si="28">C143*D143</f>
        <v>0</v>
      </c>
    </row>
    <row r="144" spans="1:19" x14ac:dyDescent="0.2">
      <c r="A144" t="s">
        <v>65</v>
      </c>
      <c r="B144" s="11" t="s">
        <v>6</v>
      </c>
      <c r="C144" s="202">
        <f>C67</f>
        <v>11</v>
      </c>
      <c r="D144" s="85">
        <v>0</v>
      </c>
      <c r="E144" s="49">
        <f t="shared" si="28"/>
        <v>0</v>
      </c>
    </row>
    <row r="145" spans="1:5" x14ac:dyDescent="0.2">
      <c r="A145" t="s">
        <v>66</v>
      </c>
      <c r="B145" s="11" t="s">
        <v>6</v>
      </c>
      <c r="C145" s="202">
        <f>C105</f>
        <v>1435</v>
      </c>
      <c r="D145" s="85">
        <v>0</v>
      </c>
      <c r="E145" s="49">
        <f t="shared" si="28"/>
        <v>0</v>
      </c>
    </row>
    <row r="146" spans="1:5" x14ac:dyDescent="0.2">
      <c r="A146" t="s">
        <v>67</v>
      </c>
      <c r="B146" s="11" t="s">
        <v>6</v>
      </c>
      <c r="C146" s="202">
        <f>C104</f>
        <v>18</v>
      </c>
      <c r="D146" s="85">
        <v>0</v>
      </c>
      <c r="E146" s="49">
        <f t="shared" si="28"/>
        <v>0</v>
      </c>
    </row>
    <row r="147" spans="1:5" x14ac:dyDescent="0.2">
      <c r="A147" t="s">
        <v>68</v>
      </c>
      <c r="B147" s="11" t="s">
        <v>6</v>
      </c>
      <c r="C147" s="202">
        <f>C241</f>
        <v>200</v>
      </c>
      <c r="D147" s="85">
        <v>0</v>
      </c>
      <c r="E147" s="49">
        <f t="shared" si="28"/>
        <v>0</v>
      </c>
    </row>
    <row r="148" spans="1:5" x14ac:dyDescent="0.2">
      <c r="A148" t="s">
        <v>69</v>
      </c>
      <c r="B148" s="11" t="s">
        <v>6</v>
      </c>
      <c r="C148" s="202">
        <f>C238</f>
        <v>20</v>
      </c>
      <c r="D148" s="85">
        <v>0</v>
      </c>
      <c r="E148" s="49">
        <f t="shared" si="28"/>
        <v>0</v>
      </c>
    </row>
    <row r="149" spans="1:5" x14ac:dyDescent="0.2">
      <c r="A149" t="s">
        <v>56</v>
      </c>
      <c r="B149" s="11" t="s">
        <v>6</v>
      </c>
      <c r="C149" s="202">
        <f>C22</f>
        <v>14</v>
      </c>
      <c r="D149" s="85">
        <v>0</v>
      </c>
      <c r="E149" s="49">
        <f t="shared" si="28"/>
        <v>0</v>
      </c>
    </row>
    <row r="150" spans="1:5" x14ac:dyDescent="0.2">
      <c r="A150" s="21" t="s">
        <v>24</v>
      </c>
      <c r="B150" s="11"/>
      <c r="C150">
        <f>SUM(C143:C149)</f>
        <v>1716</v>
      </c>
      <c r="D150" s="85"/>
      <c r="E150" s="49"/>
    </row>
    <row r="151" spans="1:5" x14ac:dyDescent="0.2">
      <c r="B151" s="11"/>
      <c r="D151" s="85"/>
      <c r="E151" s="49"/>
    </row>
    <row r="152" spans="1:5" x14ac:dyDescent="0.2">
      <c r="A152" s="14" t="s">
        <v>18</v>
      </c>
      <c r="B152" s="11"/>
      <c r="D152" s="85"/>
      <c r="E152" s="49"/>
    </row>
    <row r="153" spans="1:5" x14ac:dyDescent="0.2">
      <c r="A153" t="s">
        <v>46</v>
      </c>
      <c r="B153" s="11"/>
      <c r="D153" s="85"/>
      <c r="E153" s="49"/>
    </row>
    <row r="154" spans="1:5" x14ac:dyDescent="0.2">
      <c r="A154" t="s">
        <v>70</v>
      </c>
      <c r="B154" s="11" t="s">
        <v>28</v>
      </c>
      <c r="C154" s="202">
        <f>C177</f>
        <v>10</v>
      </c>
      <c r="D154" s="85">
        <v>0</v>
      </c>
      <c r="E154" s="49">
        <f t="shared" ref="E154" si="29">C154*D154</f>
        <v>0</v>
      </c>
    </row>
    <row r="155" spans="1:5" x14ac:dyDescent="0.2">
      <c r="A155" s="21" t="s">
        <v>48</v>
      </c>
      <c r="B155" s="11"/>
      <c r="C155">
        <v>10</v>
      </c>
      <c r="D155" s="85"/>
      <c r="E155" s="49"/>
    </row>
    <row r="156" spans="1:5" x14ac:dyDescent="0.2">
      <c r="B156" s="11"/>
      <c r="D156" s="85"/>
      <c r="E156" s="49"/>
    </row>
    <row r="157" spans="1:5" x14ac:dyDescent="0.2">
      <c r="A157" s="11"/>
      <c r="B157" s="11"/>
      <c r="C157" s="11"/>
      <c r="D157" s="85"/>
      <c r="E157" s="49"/>
    </row>
    <row r="158" spans="1:5" x14ac:dyDescent="0.2">
      <c r="D158" s="85"/>
      <c r="E158" s="49"/>
    </row>
    <row r="159" spans="1:5" x14ac:dyDescent="0.2">
      <c r="A159" s="12" t="s">
        <v>29</v>
      </c>
      <c r="B159" s="11"/>
      <c r="D159" s="85"/>
      <c r="E159" s="49"/>
    </row>
    <row r="160" spans="1:5" x14ac:dyDescent="0.2">
      <c r="A160" s="15" t="s">
        <v>21</v>
      </c>
      <c r="B160" s="16" t="s">
        <v>7</v>
      </c>
      <c r="C160" s="166">
        <v>1</v>
      </c>
      <c r="D160" s="85">
        <f>$H$6</f>
        <v>1100</v>
      </c>
      <c r="E160" s="49">
        <f>C160*D160</f>
        <v>1100</v>
      </c>
    </row>
    <row r="161" spans="1:5" x14ac:dyDescent="0.2">
      <c r="D161" s="85"/>
      <c r="E161" s="49"/>
    </row>
    <row r="162" spans="1:5" ht="19" x14ac:dyDescent="0.25">
      <c r="A162" s="30" t="s">
        <v>123</v>
      </c>
      <c r="D162" s="85"/>
      <c r="E162" s="49"/>
    </row>
    <row r="163" spans="1:5" x14ac:dyDescent="0.2">
      <c r="A163" s="12" t="s">
        <v>11</v>
      </c>
      <c r="B163" s="11"/>
      <c r="D163" s="85"/>
      <c r="E163" s="49"/>
    </row>
    <row r="164" spans="1:5" x14ac:dyDescent="0.2">
      <c r="A164" s="15" t="s">
        <v>12</v>
      </c>
      <c r="B164" s="16" t="s">
        <v>7</v>
      </c>
      <c r="C164" s="166">
        <v>0.2</v>
      </c>
      <c r="D164" s="85">
        <f>$H$7</f>
        <v>2500</v>
      </c>
      <c r="E164" s="49">
        <f>C164*D164</f>
        <v>500</v>
      </c>
    </row>
    <row r="165" spans="1:5" x14ac:dyDescent="0.2">
      <c r="A165" s="19" t="s">
        <v>13</v>
      </c>
      <c r="B165" s="16" t="s">
        <v>7</v>
      </c>
      <c r="C165" s="166">
        <v>0.1</v>
      </c>
      <c r="D165" s="85">
        <f>$H$8</f>
        <v>1250</v>
      </c>
      <c r="E165" s="49">
        <f>C165*D165</f>
        <v>125</v>
      </c>
    </row>
    <row r="166" spans="1:5" x14ac:dyDescent="0.2">
      <c r="D166" s="85"/>
      <c r="E166" s="49"/>
    </row>
    <row r="167" spans="1:5" ht="20" x14ac:dyDescent="0.2">
      <c r="A167" s="39" t="s">
        <v>227</v>
      </c>
      <c r="B167" s="11"/>
      <c r="D167" s="85"/>
      <c r="E167" s="172">
        <v>30000</v>
      </c>
    </row>
    <row r="168" spans="1:5" ht="19" x14ac:dyDescent="0.25">
      <c r="A168" s="25" t="s">
        <v>74</v>
      </c>
      <c r="B168" s="11"/>
      <c r="D168" s="85"/>
      <c r="E168" s="49"/>
    </row>
    <row r="169" spans="1:5" x14ac:dyDescent="0.2">
      <c r="A169" s="14" t="s">
        <v>10</v>
      </c>
      <c r="B169" s="11"/>
      <c r="D169" s="85"/>
      <c r="E169" s="49"/>
    </row>
    <row r="170" spans="1:5" x14ac:dyDescent="0.2">
      <c r="A170" t="s">
        <v>75</v>
      </c>
      <c r="B170" s="11" t="s">
        <v>28</v>
      </c>
      <c r="C170" s="166">
        <f>[1]Main!$AL$29</f>
        <v>83</v>
      </c>
      <c r="D170" s="85">
        <v>0</v>
      </c>
      <c r="E170" s="49">
        <f t="shared" ref="E170:E171" si="30">C170*D170</f>
        <v>0</v>
      </c>
    </row>
    <row r="171" spans="1:5" x14ac:dyDescent="0.2">
      <c r="A171" s="21" t="s">
        <v>22</v>
      </c>
      <c r="B171" s="11"/>
      <c r="C171">
        <v>83</v>
      </c>
      <c r="D171" s="85"/>
      <c r="E171" s="49">
        <f t="shared" si="30"/>
        <v>0</v>
      </c>
    </row>
    <row r="172" spans="1:5" x14ac:dyDescent="0.2">
      <c r="B172" s="11"/>
      <c r="D172" s="85"/>
      <c r="E172" s="49"/>
    </row>
    <row r="173" spans="1:5" x14ac:dyDescent="0.2">
      <c r="A173" s="14" t="s">
        <v>18</v>
      </c>
      <c r="B173" s="11"/>
      <c r="D173" s="85"/>
      <c r="E173" s="49"/>
    </row>
    <row r="174" spans="1:5" x14ac:dyDescent="0.2">
      <c r="A174" t="s">
        <v>46</v>
      </c>
      <c r="B174" s="11"/>
      <c r="D174" s="85"/>
      <c r="E174" s="49"/>
    </row>
    <row r="175" spans="1:5" x14ac:dyDescent="0.2">
      <c r="A175" t="s">
        <v>78</v>
      </c>
      <c r="B175" s="11" t="s">
        <v>28</v>
      </c>
      <c r="C175" s="166">
        <v>26</v>
      </c>
      <c r="D175" s="85">
        <v>0</v>
      </c>
      <c r="E175" s="49">
        <f t="shared" ref="E175:E179" si="31">C175*D175</f>
        <v>0</v>
      </c>
    </row>
    <row r="176" spans="1:5" x14ac:dyDescent="0.2">
      <c r="A176" t="s">
        <v>79</v>
      </c>
      <c r="B176" s="11" t="s">
        <v>28</v>
      </c>
      <c r="C176" s="166">
        <v>33</v>
      </c>
      <c r="D176" s="85">
        <v>0</v>
      </c>
      <c r="E176" s="49">
        <f t="shared" si="31"/>
        <v>0</v>
      </c>
    </row>
    <row r="177" spans="1:5" x14ac:dyDescent="0.2">
      <c r="A177" t="s">
        <v>80</v>
      </c>
      <c r="B177" s="11" t="s">
        <v>28</v>
      </c>
      <c r="C177" s="166">
        <v>10</v>
      </c>
      <c r="D177" s="85">
        <v>0</v>
      </c>
      <c r="E177" s="49">
        <f t="shared" si="31"/>
        <v>0</v>
      </c>
    </row>
    <row r="178" spans="1:5" x14ac:dyDescent="0.2">
      <c r="A178" t="s">
        <v>81</v>
      </c>
      <c r="B178" s="11" t="s">
        <v>28</v>
      </c>
      <c r="C178" s="166">
        <v>14</v>
      </c>
      <c r="D178" s="85">
        <v>0</v>
      </c>
      <c r="E178" s="49">
        <f t="shared" si="31"/>
        <v>0</v>
      </c>
    </row>
    <row r="179" spans="1:5" x14ac:dyDescent="0.2">
      <c r="A179" t="s">
        <v>27</v>
      </c>
      <c r="B179" s="11" t="s">
        <v>6</v>
      </c>
      <c r="C179" s="166">
        <v>177</v>
      </c>
      <c r="D179" s="85">
        <f>$K$12</f>
        <v>0.125</v>
      </c>
      <c r="E179" s="49">
        <f t="shared" si="31"/>
        <v>22.125</v>
      </c>
    </row>
    <row r="180" spans="1:5" x14ac:dyDescent="0.2">
      <c r="A180" s="21" t="s">
        <v>125</v>
      </c>
      <c r="B180" s="11"/>
      <c r="C180">
        <f>SUM(C175:C179)</f>
        <v>260</v>
      </c>
      <c r="D180" s="85"/>
      <c r="E180" s="49"/>
    </row>
    <row r="181" spans="1:5" x14ac:dyDescent="0.2">
      <c r="B181" s="11"/>
      <c r="D181" s="85"/>
      <c r="E181" s="49"/>
    </row>
    <row r="182" spans="1:5" ht="19" x14ac:dyDescent="0.25">
      <c r="A182" s="25" t="s">
        <v>76</v>
      </c>
      <c r="B182" s="11"/>
      <c r="D182" s="85"/>
      <c r="E182" s="49"/>
    </row>
    <row r="183" spans="1:5" ht="19" x14ac:dyDescent="0.25">
      <c r="A183" s="30" t="s">
        <v>122</v>
      </c>
      <c r="B183" s="11"/>
      <c r="D183" s="85"/>
      <c r="E183" s="49"/>
    </row>
    <row r="184" spans="1:5" x14ac:dyDescent="0.2">
      <c r="A184" s="14" t="s">
        <v>10</v>
      </c>
      <c r="B184" s="11"/>
      <c r="D184" s="85"/>
      <c r="E184" s="49"/>
    </row>
    <row r="185" spans="1:5" x14ac:dyDescent="0.2">
      <c r="A185" t="s">
        <v>77</v>
      </c>
      <c r="B185" s="11" t="s">
        <v>28</v>
      </c>
      <c r="C185" s="202">
        <f>C135</f>
        <v>83</v>
      </c>
      <c r="D185" s="85">
        <v>0</v>
      </c>
      <c r="E185" s="49">
        <f t="shared" ref="E185" si="32">C185*D185</f>
        <v>0</v>
      </c>
    </row>
    <row r="186" spans="1:5" x14ac:dyDescent="0.2">
      <c r="A186" s="21" t="s">
        <v>24</v>
      </c>
      <c r="B186" s="11"/>
      <c r="C186">
        <v>83</v>
      </c>
      <c r="D186" s="85"/>
      <c r="E186" s="49"/>
    </row>
    <row r="187" spans="1:5" x14ac:dyDescent="0.2">
      <c r="B187"/>
      <c r="D187" s="85"/>
      <c r="E187" s="49"/>
    </row>
    <row r="188" spans="1:5" x14ac:dyDescent="0.2">
      <c r="A188" s="12" t="s">
        <v>29</v>
      </c>
      <c r="B188" s="11"/>
      <c r="D188" s="85"/>
      <c r="E188" s="49"/>
    </row>
    <row r="189" spans="1:5" x14ac:dyDescent="0.2">
      <c r="A189" s="15" t="s">
        <v>21</v>
      </c>
      <c r="B189" s="16" t="s">
        <v>7</v>
      </c>
      <c r="C189" s="166">
        <v>0.01</v>
      </c>
      <c r="D189" s="85">
        <f>$H$6</f>
        <v>1100</v>
      </c>
      <c r="E189" s="49">
        <f>C189*D189</f>
        <v>11</v>
      </c>
    </row>
    <row r="190" spans="1:5" x14ac:dyDescent="0.2">
      <c r="D190" s="85"/>
      <c r="E190" s="49"/>
    </row>
    <row r="191" spans="1:5" ht="19" x14ac:dyDescent="0.25">
      <c r="A191" s="30" t="s">
        <v>123</v>
      </c>
      <c r="D191" s="85"/>
      <c r="E191" s="49"/>
    </row>
    <row r="192" spans="1:5" x14ac:dyDescent="0.2">
      <c r="A192" s="12" t="s">
        <v>11</v>
      </c>
      <c r="B192" s="11"/>
      <c r="D192" s="85"/>
      <c r="E192" s="49"/>
    </row>
    <row r="193" spans="1:5" x14ac:dyDescent="0.2">
      <c r="A193" s="15" t="s">
        <v>12</v>
      </c>
      <c r="B193" s="16" t="s">
        <v>7</v>
      </c>
      <c r="C193" s="166">
        <v>0.05</v>
      </c>
      <c r="D193" s="85">
        <f>$H$7</f>
        <v>2500</v>
      </c>
      <c r="E193" s="49">
        <f>C193*D193</f>
        <v>125</v>
      </c>
    </row>
    <row r="194" spans="1:5" x14ac:dyDescent="0.2">
      <c r="A194" s="19" t="s">
        <v>13</v>
      </c>
      <c r="B194" s="16" t="s">
        <v>7</v>
      </c>
      <c r="C194" s="166">
        <v>0.02</v>
      </c>
      <c r="D194" s="85">
        <f>$H$8</f>
        <v>1250</v>
      </c>
      <c r="E194" s="49">
        <f>C194*D194</f>
        <v>25</v>
      </c>
    </row>
    <row r="195" spans="1:5" x14ac:dyDescent="0.2">
      <c r="D195" s="85"/>
      <c r="E195" s="49"/>
    </row>
    <row r="196" spans="1:5" x14ac:dyDescent="0.2">
      <c r="A196" s="40" t="s">
        <v>228</v>
      </c>
      <c r="B196" s="11"/>
      <c r="D196" s="85"/>
      <c r="E196" s="172">
        <v>1370000</v>
      </c>
    </row>
    <row r="197" spans="1:5" x14ac:dyDescent="0.2">
      <c r="B197" s="11"/>
      <c r="D197" s="85"/>
      <c r="E197" s="49"/>
    </row>
    <row r="198" spans="1:5" ht="19" x14ac:dyDescent="0.25">
      <c r="A198" s="25" t="s">
        <v>82</v>
      </c>
      <c r="B198" s="11"/>
      <c r="D198" s="85"/>
      <c r="E198" s="49"/>
    </row>
    <row r="199" spans="1:5" x14ac:dyDescent="0.2">
      <c r="A199" s="14" t="s">
        <v>10</v>
      </c>
      <c r="B199" s="11"/>
      <c r="D199" s="85"/>
      <c r="E199" s="49"/>
    </row>
    <row r="200" spans="1:5" x14ac:dyDescent="0.2">
      <c r="A200" t="s">
        <v>83</v>
      </c>
      <c r="B200" s="11" t="s">
        <v>6</v>
      </c>
      <c r="C200" s="166">
        <v>104</v>
      </c>
      <c r="D200" s="85">
        <f>K9</f>
        <v>100</v>
      </c>
      <c r="E200" s="49">
        <f>C200*D200</f>
        <v>10400</v>
      </c>
    </row>
    <row r="201" spans="1:5" x14ac:dyDescent="0.2">
      <c r="A201" t="s">
        <v>84</v>
      </c>
      <c r="B201" s="11" t="s">
        <v>40</v>
      </c>
      <c r="C201" s="166">
        <v>24806</v>
      </c>
      <c r="D201" s="85">
        <v>0</v>
      </c>
      <c r="E201" s="49">
        <f>C201*D201/1000</f>
        <v>0</v>
      </c>
    </row>
    <row r="202" spans="1:5" x14ac:dyDescent="0.2">
      <c r="A202" t="s">
        <v>85</v>
      </c>
      <c r="B202" s="11" t="s">
        <v>40</v>
      </c>
      <c r="C202" s="166">
        <v>1460</v>
      </c>
      <c r="D202" s="85">
        <v>0</v>
      </c>
      <c r="E202" s="49">
        <f>C202*D202</f>
        <v>0</v>
      </c>
    </row>
    <row r="203" spans="1:5" x14ac:dyDescent="0.2">
      <c r="A203" s="21" t="s">
        <v>22</v>
      </c>
      <c r="B203" s="11"/>
      <c r="C203">
        <f>SUM(C200:C202)</f>
        <v>26370</v>
      </c>
      <c r="D203" s="85"/>
      <c r="E203" s="49"/>
    </row>
    <row r="204" spans="1:5" x14ac:dyDescent="0.2">
      <c r="B204" s="11"/>
      <c r="D204" s="85"/>
      <c r="E204" s="49"/>
    </row>
    <row r="205" spans="1:5" x14ac:dyDescent="0.2">
      <c r="A205" s="14" t="s">
        <v>18</v>
      </c>
      <c r="B205"/>
      <c r="D205" s="85"/>
      <c r="E205" s="49"/>
    </row>
    <row r="206" spans="1:5" x14ac:dyDescent="0.2">
      <c r="A206" t="s">
        <v>359</v>
      </c>
      <c r="B206" s="26" t="s">
        <v>28</v>
      </c>
      <c r="C206" s="166">
        <v>792</v>
      </c>
      <c r="D206" s="85">
        <v>0</v>
      </c>
      <c r="E206" s="49">
        <f>C206*D206</f>
        <v>0</v>
      </c>
    </row>
    <row r="207" spans="1:5" x14ac:dyDescent="0.2">
      <c r="A207" t="s">
        <v>360</v>
      </c>
      <c r="B207" s="26" t="s">
        <v>28</v>
      </c>
      <c r="C207" s="166">
        <v>1101</v>
      </c>
      <c r="D207" s="85">
        <v>0</v>
      </c>
      <c r="E207" s="49">
        <f>C207*D207</f>
        <v>0</v>
      </c>
    </row>
    <row r="208" spans="1:5" x14ac:dyDescent="0.2">
      <c r="A208" s="21" t="s">
        <v>26</v>
      </c>
      <c r="C208" s="29">
        <f>SUM(C206:C207)</f>
        <v>1893</v>
      </c>
      <c r="D208" s="85"/>
      <c r="E208" s="49"/>
    </row>
    <row r="209" spans="1:5" x14ac:dyDescent="0.2">
      <c r="B209" s="11"/>
      <c r="D209" s="85"/>
      <c r="E209" s="49"/>
    </row>
    <row r="210" spans="1:5" ht="19" x14ac:dyDescent="0.25">
      <c r="A210" s="25" t="s">
        <v>86</v>
      </c>
      <c r="B210" s="11"/>
      <c r="D210" s="85"/>
      <c r="E210" s="49"/>
    </row>
    <row r="211" spans="1:5" ht="19" x14ac:dyDescent="0.25">
      <c r="A211" s="30" t="s">
        <v>122</v>
      </c>
      <c r="B211" s="11"/>
      <c r="D211" s="85"/>
      <c r="E211" s="49"/>
    </row>
    <row r="212" spans="1:5" x14ac:dyDescent="0.2">
      <c r="A212" s="14" t="s">
        <v>10</v>
      </c>
      <c r="B212" s="11"/>
      <c r="D212" s="85"/>
      <c r="E212" s="49"/>
    </row>
    <row r="213" spans="1:5" ht="18" x14ac:dyDescent="0.2">
      <c r="A213" t="s">
        <v>87</v>
      </c>
      <c r="B213" s="11" t="s">
        <v>40</v>
      </c>
      <c r="C213" s="216">
        <v>26370</v>
      </c>
      <c r="D213" s="85">
        <f>O6</f>
        <v>2.5</v>
      </c>
      <c r="E213" s="49">
        <f>C213*D213/1000</f>
        <v>65.924999999999997</v>
      </c>
    </row>
    <row r="214" spans="1:5" x14ac:dyDescent="0.2">
      <c r="A214" s="21" t="s">
        <v>24</v>
      </c>
      <c r="B214" s="11"/>
      <c r="C214">
        <v>26370</v>
      </c>
      <c r="D214" s="85"/>
      <c r="E214" s="49"/>
    </row>
    <row r="215" spans="1:5" x14ac:dyDescent="0.2">
      <c r="B215" s="11"/>
      <c r="D215" s="85"/>
      <c r="E215" s="49"/>
    </row>
    <row r="216" spans="1:5" x14ac:dyDescent="0.2">
      <c r="A216" s="14" t="s">
        <v>18</v>
      </c>
      <c r="B216" s="11"/>
      <c r="D216" s="85"/>
      <c r="E216" s="49"/>
    </row>
    <row r="217" spans="1:5" x14ac:dyDescent="0.2">
      <c r="A217" t="s">
        <v>46</v>
      </c>
      <c r="B217" s="11"/>
      <c r="D217" s="85"/>
      <c r="E217" s="49"/>
    </row>
    <row r="218" spans="1:5" ht="18" x14ac:dyDescent="0.2">
      <c r="A218" t="s">
        <v>47</v>
      </c>
      <c r="B218" s="11" t="s">
        <v>28</v>
      </c>
      <c r="C218" s="216">
        <f>3560-1602</f>
        <v>1958</v>
      </c>
      <c r="D218" s="85">
        <f>O7</f>
        <v>1.25</v>
      </c>
      <c r="E218" s="49">
        <f>C218*D218</f>
        <v>2447.5</v>
      </c>
    </row>
    <row r="219" spans="1:5" x14ac:dyDescent="0.2">
      <c r="A219" s="21" t="s">
        <v>48</v>
      </c>
      <c r="B219" s="11"/>
      <c r="C219">
        <f>C218</f>
        <v>1958</v>
      </c>
      <c r="D219" s="85"/>
      <c r="E219" s="49"/>
    </row>
    <row r="220" spans="1:5" x14ac:dyDescent="0.2">
      <c r="A220" t="s">
        <v>71</v>
      </c>
      <c r="B220" s="11"/>
      <c r="D220" s="85"/>
      <c r="E220" s="49"/>
    </row>
    <row r="221" spans="1:5" ht="18" x14ac:dyDescent="0.2">
      <c r="A221" t="s">
        <v>361</v>
      </c>
      <c r="B221" s="11" t="s">
        <v>6</v>
      </c>
      <c r="C221" s="216">
        <v>90</v>
      </c>
      <c r="D221" s="85">
        <v>0</v>
      </c>
      <c r="E221" s="49">
        <f>C221*D221</f>
        <v>0</v>
      </c>
    </row>
    <row r="222" spans="1:5" x14ac:dyDescent="0.2">
      <c r="A222" s="21" t="s">
        <v>72</v>
      </c>
      <c r="B222" s="11"/>
      <c r="C222">
        <v>90</v>
      </c>
      <c r="D222" s="85"/>
      <c r="E222" s="49"/>
    </row>
    <row r="223" spans="1:5" x14ac:dyDescent="0.2">
      <c r="D223" s="85"/>
      <c r="E223" s="49"/>
    </row>
    <row r="224" spans="1:5" x14ac:dyDescent="0.2">
      <c r="A224" s="12" t="s">
        <v>29</v>
      </c>
      <c r="B224" s="11"/>
      <c r="D224" s="85"/>
      <c r="E224" s="49"/>
    </row>
    <row r="225" spans="1:5" x14ac:dyDescent="0.2">
      <c r="A225" s="15" t="s">
        <v>21</v>
      </c>
      <c r="B225" s="16" t="s">
        <v>7</v>
      </c>
      <c r="C225" s="166">
        <v>0.1</v>
      </c>
      <c r="D225" s="85">
        <f>$H$6</f>
        <v>1100</v>
      </c>
      <c r="E225" s="49">
        <f>C225*D225</f>
        <v>110</v>
      </c>
    </row>
    <row r="226" spans="1:5" x14ac:dyDescent="0.2">
      <c r="D226" s="85"/>
      <c r="E226" s="49"/>
    </row>
    <row r="227" spans="1:5" ht="19" x14ac:dyDescent="0.25">
      <c r="A227" s="30" t="s">
        <v>123</v>
      </c>
      <c r="D227" s="85"/>
      <c r="E227" s="49"/>
    </row>
    <row r="228" spans="1:5" x14ac:dyDescent="0.2">
      <c r="A228" s="12" t="s">
        <v>11</v>
      </c>
      <c r="B228" s="11"/>
      <c r="D228" s="85"/>
      <c r="E228" s="49"/>
    </row>
    <row r="229" spans="1:5" x14ac:dyDescent="0.2">
      <c r="A229" s="15" t="s">
        <v>12</v>
      </c>
      <c r="B229" s="16" t="s">
        <v>7</v>
      </c>
      <c r="C229" s="166">
        <v>0.05</v>
      </c>
      <c r="D229" s="85">
        <f>$H$7</f>
        <v>2500</v>
      </c>
      <c r="E229" s="49">
        <f>C229*D229</f>
        <v>125</v>
      </c>
    </row>
    <row r="230" spans="1:5" x14ac:dyDescent="0.2">
      <c r="A230" s="19" t="s">
        <v>13</v>
      </c>
      <c r="B230" s="16" t="s">
        <v>7</v>
      </c>
      <c r="C230" s="166">
        <v>0.02</v>
      </c>
      <c r="D230" s="85">
        <f>$H$8</f>
        <v>1250</v>
      </c>
      <c r="E230" s="49">
        <f>C230*D230</f>
        <v>25</v>
      </c>
    </row>
    <row r="231" spans="1:5" x14ac:dyDescent="0.2">
      <c r="D231" s="85"/>
      <c r="E231" s="49"/>
    </row>
    <row r="232" spans="1:5" x14ac:dyDescent="0.2">
      <c r="D232" s="85"/>
      <c r="E232" s="49"/>
    </row>
    <row r="233" spans="1:5" ht="20" x14ac:dyDescent="0.2">
      <c r="A233" s="41" t="s">
        <v>229</v>
      </c>
      <c r="B233" s="11"/>
      <c r="D233" s="85"/>
      <c r="E233" s="172">
        <v>90000</v>
      </c>
    </row>
    <row r="234" spans="1:5" ht="19" x14ac:dyDescent="0.25">
      <c r="A234" s="25" t="s">
        <v>88</v>
      </c>
      <c r="B234" s="11"/>
      <c r="D234" s="85"/>
      <c r="E234" s="49"/>
    </row>
    <row r="235" spans="1:5" x14ac:dyDescent="0.2">
      <c r="A235" s="14" t="s">
        <v>10</v>
      </c>
      <c r="B235" s="11"/>
      <c r="D235" s="85"/>
      <c r="E235" s="49"/>
    </row>
    <row r="236" spans="1:5" x14ac:dyDescent="0.2">
      <c r="A236" t="s">
        <v>89</v>
      </c>
      <c r="B236" s="11" t="s">
        <v>6</v>
      </c>
      <c r="C236" s="166">
        <v>1000</v>
      </c>
      <c r="D236" s="85">
        <f>K10</f>
        <v>3</v>
      </c>
      <c r="E236" s="49">
        <f t="shared" ref="E236:E242" si="33">C236*D236</f>
        <v>3000</v>
      </c>
    </row>
    <row r="237" spans="1:5" x14ac:dyDescent="0.2">
      <c r="A237" t="s">
        <v>238</v>
      </c>
      <c r="B237" s="11" t="s">
        <v>6</v>
      </c>
      <c r="C237" s="166">
        <v>130</v>
      </c>
      <c r="D237" s="85">
        <v>0</v>
      </c>
      <c r="E237" s="49">
        <f t="shared" si="33"/>
        <v>0</v>
      </c>
    </row>
    <row r="238" spans="1:5" x14ac:dyDescent="0.2">
      <c r="A238" t="s">
        <v>239</v>
      </c>
      <c r="B238" s="11" t="s">
        <v>6</v>
      </c>
      <c r="C238" s="166">
        <v>20</v>
      </c>
      <c r="D238" s="85">
        <v>0</v>
      </c>
      <c r="E238" s="49">
        <f t="shared" si="33"/>
        <v>0</v>
      </c>
    </row>
    <row r="239" spans="1:5" x14ac:dyDescent="0.2">
      <c r="A239" t="s">
        <v>90</v>
      </c>
      <c r="B239" s="11" t="s">
        <v>6</v>
      </c>
      <c r="C239" s="166">
        <v>140</v>
      </c>
      <c r="D239" s="85">
        <f>K11</f>
        <v>6</v>
      </c>
      <c r="E239" s="49">
        <f t="shared" si="33"/>
        <v>840</v>
      </c>
    </row>
    <row r="240" spans="1:5" x14ac:dyDescent="0.2">
      <c r="A240" t="s">
        <v>240</v>
      </c>
      <c r="B240" s="11" t="s">
        <v>6</v>
      </c>
      <c r="C240" s="166">
        <v>1000</v>
      </c>
      <c r="D240" s="85">
        <v>0</v>
      </c>
      <c r="E240" s="49">
        <f t="shared" si="33"/>
        <v>0</v>
      </c>
    </row>
    <row r="241" spans="1:5" x14ac:dyDescent="0.2">
      <c r="A241" t="s">
        <v>241</v>
      </c>
      <c r="B241" s="11" t="s">
        <v>6</v>
      </c>
      <c r="C241" s="166">
        <v>200</v>
      </c>
      <c r="D241" s="85">
        <v>0</v>
      </c>
      <c r="E241" s="49">
        <f t="shared" si="33"/>
        <v>0</v>
      </c>
    </row>
    <row r="242" spans="1:5" x14ac:dyDescent="0.2">
      <c r="A242" t="s">
        <v>362</v>
      </c>
      <c r="B242" s="11" t="s">
        <v>40</v>
      </c>
      <c r="C242" s="166">
        <v>23776</v>
      </c>
      <c r="D242" s="85">
        <v>0</v>
      </c>
      <c r="E242" s="49">
        <f t="shared" si="33"/>
        <v>0</v>
      </c>
    </row>
    <row r="243" spans="1:5" x14ac:dyDescent="0.2">
      <c r="A243" s="21" t="s">
        <v>22</v>
      </c>
      <c r="B243" s="11"/>
      <c r="C243">
        <f>SUM(C236:C242)</f>
        <v>26266</v>
      </c>
      <c r="D243" s="85"/>
      <c r="E243" s="49"/>
    </row>
    <row r="244" spans="1:5" x14ac:dyDescent="0.2">
      <c r="B244" s="11"/>
      <c r="D244" s="85"/>
      <c r="E244" s="49"/>
    </row>
    <row r="245" spans="1:5" x14ac:dyDescent="0.2">
      <c r="A245" s="14" t="s">
        <v>18</v>
      </c>
      <c r="B245"/>
      <c r="D245" s="85"/>
      <c r="E245" s="49"/>
    </row>
    <row r="246" spans="1:5" x14ac:dyDescent="0.2">
      <c r="A246" t="s">
        <v>127</v>
      </c>
      <c r="B246" s="34" t="s">
        <v>20</v>
      </c>
      <c r="C246" s="166">
        <v>24776</v>
      </c>
      <c r="D246" s="85">
        <v>0</v>
      </c>
      <c r="E246" s="49">
        <f>C246*D246</f>
        <v>0</v>
      </c>
    </row>
    <row r="247" spans="1:5" x14ac:dyDescent="0.2">
      <c r="A247" s="21" t="s">
        <v>26</v>
      </c>
      <c r="C247" s="29">
        <f>SUM(C246:C246)</f>
        <v>24776</v>
      </c>
      <c r="D247" s="85"/>
      <c r="E247" s="49"/>
    </row>
    <row r="248" spans="1:5" x14ac:dyDescent="0.2">
      <c r="B248" s="11"/>
      <c r="D248" s="85"/>
      <c r="E248" s="49"/>
    </row>
    <row r="249" spans="1:5" ht="19" x14ac:dyDescent="0.25">
      <c r="A249" s="25" t="s">
        <v>91</v>
      </c>
      <c r="B249" s="11"/>
      <c r="D249" s="85"/>
      <c r="E249" s="49"/>
    </row>
    <row r="250" spans="1:5" ht="19" x14ac:dyDescent="0.25">
      <c r="A250" s="30" t="s">
        <v>122</v>
      </c>
      <c r="B250" s="11"/>
      <c r="D250" s="85"/>
      <c r="E250" s="49"/>
    </row>
    <row r="251" spans="1:5" x14ac:dyDescent="0.2">
      <c r="A251" s="14" t="s">
        <v>10</v>
      </c>
      <c r="B251" s="11"/>
      <c r="D251" s="85"/>
      <c r="E251" s="49"/>
    </row>
    <row r="252" spans="1:5" x14ac:dyDescent="0.2">
      <c r="A252" t="s">
        <v>92</v>
      </c>
      <c r="B252" s="11" t="s">
        <v>40</v>
      </c>
      <c r="C252" s="202">
        <f>C201+C202</f>
        <v>26266</v>
      </c>
      <c r="D252" s="85">
        <v>0</v>
      </c>
      <c r="E252" s="49">
        <f>C252*D252/1000</f>
        <v>0</v>
      </c>
    </row>
    <row r="253" spans="1:5" x14ac:dyDescent="0.2">
      <c r="A253" s="21" t="s">
        <v>24</v>
      </c>
      <c r="B253" s="11"/>
      <c r="C253">
        <f>C252</f>
        <v>26266</v>
      </c>
      <c r="D253" s="85"/>
      <c r="E253" s="49"/>
    </row>
    <row r="254" spans="1:5" x14ac:dyDescent="0.2">
      <c r="B254" s="11"/>
      <c r="D254" s="85"/>
      <c r="E254" s="49"/>
    </row>
    <row r="255" spans="1:5" x14ac:dyDescent="0.2">
      <c r="A255" s="14" t="s">
        <v>18</v>
      </c>
      <c r="B255" s="11"/>
      <c r="D255" s="85"/>
      <c r="E255" s="49"/>
    </row>
    <row r="256" spans="1:5" x14ac:dyDescent="0.2">
      <c r="A256" t="s">
        <v>46</v>
      </c>
      <c r="B256" s="11"/>
      <c r="D256" s="85"/>
      <c r="E256" s="49"/>
    </row>
    <row r="257" spans="1:5" ht="18" x14ac:dyDescent="0.2">
      <c r="A257" t="s">
        <v>47</v>
      </c>
      <c r="B257" s="11" t="s">
        <v>28</v>
      </c>
      <c r="C257" s="216">
        <v>84</v>
      </c>
      <c r="D257" s="85">
        <f>O7</f>
        <v>1.25</v>
      </c>
      <c r="E257" s="49">
        <f>C257*D257</f>
        <v>105</v>
      </c>
    </row>
    <row r="258" spans="1:5" x14ac:dyDescent="0.2">
      <c r="A258" t="s">
        <v>126</v>
      </c>
      <c r="B258" s="11" t="s">
        <v>28</v>
      </c>
      <c r="C258" s="202">
        <f>C175</f>
        <v>26</v>
      </c>
      <c r="D258" s="85">
        <v>0</v>
      </c>
      <c r="E258" s="49">
        <f>C258*D258</f>
        <v>0</v>
      </c>
    </row>
    <row r="259" spans="1:5" x14ac:dyDescent="0.2">
      <c r="A259" s="21" t="s">
        <v>363</v>
      </c>
      <c r="B259" s="11"/>
      <c r="C259">
        <f>SUM(C256:C258)</f>
        <v>110</v>
      </c>
      <c r="D259" s="85"/>
      <c r="E259" s="49"/>
    </row>
    <row r="260" spans="1:5" x14ac:dyDescent="0.2">
      <c r="A260" t="s">
        <v>71</v>
      </c>
      <c r="B260" s="11"/>
      <c r="D260" s="85"/>
      <c r="E260" s="49"/>
    </row>
    <row r="261" spans="1:5" ht="18" x14ac:dyDescent="0.2">
      <c r="A261" t="s">
        <v>361</v>
      </c>
      <c r="B261" s="11" t="s">
        <v>6</v>
      </c>
      <c r="C261" s="216">
        <v>90</v>
      </c>
      <c r="D261" s="85">
        <f>$K$13</f>
        <v>1</v>
      </c>
      <c r="E261" s="49">
        <f>C261*D261</f>
        <v>90</v>
      </c>
    </row>
    <row r="262" spans="1:5" x14ac:dyDescent="0.2">
      <c r="A262" t="s">
        <v>204</v>
      </c>
      <c r="B262" s="11" t="s">
        <v>28</v>
      </c>
      <c r="C262" s="202">
        <f>C176</f>
        <v>33</v>
      </c>
      <c r="D262" s="85">
        <v>0</v>
      </c>
      <c r="E262" s="49">
        <f>C262*D262</f>
        <v>0</v>
      </c>
    </row>
    <row r="263" spans="1:5" x14ac:dyDescent="0.2">
      <c r="A263" t="s">
        <v>364</v>
      </c>
      <c r="B263" s="26" t="s">
        <v>28</v>
      </c>
      <c r="C263">
        <f>C206</f>
        <v>792</v>
      </c>
    </row>
    <row r="264" spans="1:5" x14ac:dyDescent="0.2">
      <c r="A264" s="21" t="s">
        <v>72</v>
      </c>
      <c r="B264" s="11"/>
      <c r="C264">
        <f>SUM(C260:C262)</f>
        <v>123</v>
      </c>
      <c r="D264" s="85"/>
      <c r="E264" s="49">
        <f>SUM(E258:E258)</f>
        <v>0</v>
      </c>
    </row>
    <row r="265" spans="1:5" x14ac:dyDescent="0.2">
      <c r="A265" s="14" t="s">
        <v>18</v>
      </c>
      <c r="B265" s="11"/>
      <c r="D265" s="85"/>
      <c r="E265" s="49"/>
    </row>
    <row r="266" spans="1:5" x14ac:dyDescent="0.2">
      <c r="A266" t="s">
        <v>46</v>
      </c>
      <c r="B266" s="11"/>
      <c r="D266" s="85"/>
      <c r="E266" s="49"/>
    </row>
    <row r="267" spans="1:5" x14ac:dyDescent="0.2">
      <c r="A267" t="s">
        <v>93</v>
      </c>
      <c r="B267" s="11" t="s">
        <v>28</v>
      </c>
      <c r="C267" s="202">
        <f>C176</f>
        <v>33</v>
      </c>
      <c r="D267" s="85">
        <v>0</v>
      </c>
      <c r="E267" s="49">
        <f>C267*D267</f>
        <v>0</v>
      </c>
    </row>
    <row r="268" spans="1:5" x14ac:dyDescent="0.2">
      <c r="A268" t="s">
        <v>94</v>
      </c>
      <c r="B268" s="11" t="s">
        <v>28</v>
      </c>
      <c r="C268" s="202">
        <f>C206</f>
        <v>792</v>
      </c>
      <c r="D268" s="85">
        <v>0</v>
      </c>
      <c r="E268" s="49">
        <f>C268*D268</f>
        <v>0</v>
      </c>
    </row>
    <row r="269" spans="1:5" x14ac:dyDescent="0.2">
      <c r="A269" t="s">
        <v>95</v>
      </c>
      <c r="B269" s="11" t="s">
        <v>28</v>
      </c>
      <c r="C269" s="202">
        <f>C257+C258</f>
        <v>110</v>
      </c>
      <c r="D269" s="85">
        <v>0</v>
      </c>
      <c r="E269" s="49">
        <f>C269*D269</f>
        <v>0</v>
      </c>
    </row>
    <row r="270" spans="1:5" x14ac:dyDescent="0.2">
      <c r="A270" s="21" t="s">
        <v>48</v>
      </c>
      <c r="B270" s="11"/>
      <c r="C270">
        <f>SUM(C267:C269)</f>
        <v>935</v>
      </c>
      <c r="D270" s="85"/>
      <c r="E270" s="49"/>
    </row>
    <row r="271" spans="1:5" x14ac:dyDescent="0.2">
      <c r="B271" s="11"/>
      <c r="D271" s="85"/>
      <c r="E271" s="49"/>
    </row>
    <row r="272" spans="1:5" x14ac:dyDescent="0.2">
      <c r="A272" s="12" t="s">
        <v>29</v>
      </c>
      <c r="B272" s="11"/>
      <c r="D272" s="85"/>
      <c r="E272" s="49"/>
    </row>
    <row r="273" spans="1:5" x14ac:dyDescent="0.2">
      <c r="A273" s="15" t="s">
        <v>21</v>
      </c>
      <c r="B273" s="16" t="s">
        <v>7</v>
      </c>
      <c r="C273" s="166">
        <v>1.2</v>
      </c>
      <c r="D273" s="85">
        <f>$H$6</f>
        <v>1100</v>
      </c>
      <c r="E273" s="49">
        <f>C273*D273</f>
        <v>1320</v>
      </c>
    </row>
    <row r="274" spans="1:5" x14ac:dyDescent="0.2">
      <c r="D274" s="85"/>
      <c r="E274" s="49"/>
    </row>
    <row r="275" spans="1:5" ht="19" x14ac:dyDescent="0.25">
      <c r="A275" s="30" t="s">
        <v>123</v>
      </c>
      <c r="D275" s="85"/>
      <c r="E275" s="49"/>
    </row>
    <row r="276" spans="1:5" x14ac:dyDescent="0.2">
      <c r="A276" s="12" t="s">
        <v>11</v>
      </c>
      <c r="B276" s="11"/>
      <c r="D276" s="85"/>
      <c r="E276" s="49"/>
    </row>
    <row r="277" spans="1:5" x14ac:dyDescent="0.2">
      <c r="A277" s="15" t="s">
        <v>12</v>
      </c>
      <c r="B277" s="16" t="s">
        <v>7</v>
      </c>
      <c r="C277" s="166">
        <v>0.2</v>
      </c>
      <c r="D277" s="85">
        <f>$H$7</f>
        <v>2500</v>
      </c>
      <c r="E277" s="49">
        <f>C277*D277</f>
        <v>500</v>
      </c>
    </row>
    <row r="278" spans="1:5" x14ac:dyDescent="0.2">
      <c r="A278" s="19" t="s">
        <v>13</v>
      </c>
      <c r="B278" s="16" t="s">
        <v>7</v>
      </c>
      <c r="C278" s="166">
        <v>0.1</v>
      </c>
      <c r="D278" s="85">
        <f>$H$8</f>
        <v>1250</v>
      </c>
      <c r="E278" s="49">
        <f>C278*D278</f>
        <v>125</v>
      </c>
    </row>
    <row r="279" spans="1:5" x14ac:dyDescent="0.2">
      <c r="B279" s="11"/>
      <c r="D279" s="85"/>
      <c r="E279" s="49"/>
    </row>
    <row r="280" spans="1:5" ht="20" x14ac:dyDescent="0.2">
      <c r="A280" s="43" t="s">
        <v>230</v>
      </c>
      <c r="B280" s="11"/>
      <c r="D280" s="85"/>
      <c r="E280" s="172">
        <f>17000</f>
        <v>17000</v>
      </c>
    </row>
    <row r="281" spans="1:5" ht="19" x14ac:dyDescent="0.25">
      <c r="A281" s="25" t="s">
        <v>97</v>
      </c>
      <c r="B281" s="11"/>
      <c r="D281" s="85"/>
      <c r="E281" s="49"/>
    </row>
    <row r="282" spans="1:5" x14ac:dyDescent="0.2">
      <c r="A282" s="14" t="s">
        <v>10</v>
      </c>
      <c r="B282" s="11"/>
      <c r="D282" s="85"/>
      <c r="E282" s="49"/>
    </row>
    <row r="283" spans="1:5" x14ac:dyDescent="0.2">
      <c r="A283" t="s">
        <v>98</v>
      </c>
      <c r="B283" s="11" t="s">
        <v>6</v>
      </c>
      <c r="C283" s="166">
        <v>18</v>
      </c>
      <c r="D283" s="85">
        <v>0</v>
      </c>
      <c r="E283" s="49">
        <f>C283*D283</f>
        <v>0</v>
      </c>
    </row>
    <row r="284" spans="1:5" x14ac:dyDescent="0.2">
      <c r="A284" t="s">
        <v>99</v>
      </c>
      <c r="B284" s="11" t="s">
        <v>6</v>
      </c>
      <c r="C284" s="166">
        <v>69</v>
      </c>
      <c r="D284" s="85">
        <v>0</v>
      </c>
      <c r="E284" s="49">
        <f>C284*D284</f>
        <v>0</v>
      </c>
    </row>
    <row r="285" spans="1:5" x14ac:dyDescent="0.2">
      <c r="A285" t="s">
        <v>100</v>
      </c>
      <c r="B285" s="11" t="s">
        <v>6</v>
      </c>
      <c r="C285" s="166">
        <v>73</v>
      </c>
      <c r="D285" s="85">
        <v>0</v>
      </c>
      <c r="E285" s="49">
        <f>C285*D285</f>
        <v>0</v>
      </c>
    </row>
    <row r="286" spans="1:5" x14ac:dyDescent="0.2">
      <c r="A286" s="21" t="s">
        <v>22</v>
      </c>
      <c r="B286" s="11"/>
      <c r="C286">
        <f>SUM(C283:C285)</f>
        <v>160</v>
      </c>
      <c r="D286" s="85"/>
      <c r="E286" s="49"/>
    </row>
    <row r="287" spans="1:5" x14ac:dyDescent="0.2">
      <c r="B287" s="11"/>
      <c r="D287" s="85"/>
      <c r="E287" s="49"/>
    </row>
    <row r="288" spans="1:5" ht="19" x14ac:dyDescent="0.25">
      <c r="A288" s="25" t="s">
        <v>101</v>
      </c>
      <c r="B288" s="11"/>
      <c r="D288" s="85"/>
      <c r="E288" s="49"/>
    </row>
    <row r="289" spans="1:5" ht="19" x14ac:dyDescent="0.25">
      <c r="A289" s="30" t="s">
        <v>122</v>
      </c>
      <c r="B289" s="11"/>
      <c r="D289" s="85"/>
      <c r="E289" s="49"/>
    </row>
    <row r="290" spans="1:5" x14ac:dyDescent="0.2">
      <c r="A290" s="14" t="s">
        <v>10</v>
      </c>
      <c r="B290" s="11"/>
      <c r="D290" s="85"/>
      <c r="E290" s="49"/>
    </row>
    <row r="291" spans="1:5" x14ac:dyDescent="0.2">
      <c r="A291" t="s">
        <v>69</v>
      </c>
      <c r="B291" s="11" t="s">
        <v>6</v>
      </c>
      <c r="C291" s="202">
        <f>C237</f>
        <v>130</v>
      </c>
      <c r="D291" s="85">
        <v>0</v>
      </c>
      <c r="E291" s="49">
        <f>C291*D291</f>
        <v>0</v>
      </c>
    </row>
    <row r="292" spans="1:5" x14ac:dyDescent="0.2">
      <c r="A292" t="s">
        <v>102</v>
      </c>
      <c r="B292" s="11" t="s">
        <v>6</v>
      </c>
      <c r="C292" s="202">
        <f>C66</f>
        <v>30</v>
      </c>
      <c r="D292" s="85">
        <v>0</v>
      </c>
      <c r="E292" s="49">
        <f>C292*D292</f>
        <v>0</v>
      </c>
    </row>
    <row r="293" spans="1:5" x14ac:dyDescent="0.2">
      <c r="A293" s="21" t="s">
        <v>24</v>
      </c>
      <c r="B293" s="11"/>
      <c r="C293">
        <f>SUM(C291:C292)</f>
        <v>160</v>
      </c>
      <c r="D293" s="85"/>
      <c r="E293" s="49"/>
    </row>
    <row r="294" spans="1:5" x14ac:dyDescent="0.2">
      <c r="B294" s="11"/>
      <c r="D294" s="85"/>
      <c r="E294" s="49"/>
    </row>
    <row r="295" spans="1:5" x14ac:dyDescent="0.2">
      <c r="A295" s="12" t="s">
        <v>29</v>
      </c>
      <c r="B295" s="11"/>
      <c r="D295" s="85"/>
      <c r="E295" s="49"/>
    </row>
    <row r="296" spans="1:5" x14ac:dyDescent="0.2">
      <c r="A296" s="15" t="s">
        <v>21</v>
      </c>
      <c r="B296" s="16" t="s">
        <v>7</v>
      </c>
      <c r="C296" s="166">
        <v>0.5</v>
      </c>
      <c r="D296" s="85">
        <f>$H$6</f>
        <v>1100</v>
      </c>
      <c r="E296" s="49">
        <f>C296*D296</f>
        <v>550</v>
      </c>
    </row>
    <row r="297" spans="1:5" x14ac:dyDescent="0.2">
      <c r="D297" s="85"/>
      <c r="E297" s="49"/>
    </row>
    <row r="298" spans="1:5" ht="19" x14ac:dyDescent="0.25">
      <c r="A298" s="30" t="s">
        <v>123</v>
      </c>
      <c r="D298" s="85"/>
      <c r="E298" s="49"/>
    </row>
    <row r="299" spans="1:5" x14ac:dyDescent="0.2">
      <c r="A299" s="12" t="s">
        <v>11</v>
      </c>
      <c r="B299" s="11"/>
      <c r="D299" s="85"/>
      <c r="E299" s="49"/>
    </row>
    <row r="300" spans="1:5" x14ac:dyDescent="0.2">
      <c r="A300" s="15" t="s">
        <v>12</v>
      </c>
      <c r="B300" s="16" t="s">
        <v>7</v>
      </c>
      <c r="C300" s="166">
        <v>0.1</v>
      </c>
      <c r="D300" s="85">
        <f>$H$7</f>
        <v>2500</v>
      </c>
      <c r="E300" s="49">
        <f>C300*D300</f>
        <v>250</v>
      </c>
    </row>
    <row r="301" spans="1:5" x14ac:dyDescent="0.2">
      <c r="A301" s="19" t="s">
        <v>13</v>
      </c>
      <c r="B301" s="16" t="s">
        <v>7</v>
      </c>
      <c r="C301" s="166">
        <v>0.05</v>
      </c>
      <c r="D301" s="85">
        <f>$H$8</f>
        <v>1250</v>
      </c>
      <c r="E301" s="49">
        <f>C301*D301</f>
        <v>62.5</v>
      </c>
    </row>
    <row r="302" spans="1:5" x14ac:dyDescent="0.2">
      <c r="B302" s="11"/>
      <c r="D302" s="85"/>
      <c r="E302" s="49"/>
    </row>
    <row r="303" spans="1:5" ht="20" x14ac:dyDescent="0.2">
      <c r="A303" s="44" t="s">
        <v>231</v>
      </c>
      <c r="B303" s="11"/>
      <c r="D303" s="85"/>
      <c r="E303" s="172">
        <f>3500</f>
        <v>3500</v>
      </c>
    </row>
    <row r="304" spans="1:5" ht="19" x14ac:dyDescent="0.25">
      <c r="A304" s="25" t="s">
        <v>104</v>
      </c>
      <c r="B304" s="11"/>
      <c r="D304" s="85"/>
      <c r="E304" s="49"/>
    </row>
    <row r="305" spans="1:5" x14ac:dyDescent="0.2">
      <c r="A305" s="14" t="s">
        <v>10</v>
      </c>
      <c r="B305" s="11"/>
      <c r="D305" s="85"/>
      <c r="E305" s="49"/>
    </row>
    <row r="306" spans="1:5" x14ac:dyDescent="0.2">
      <c r="A306" t="s">
        <v>105</v>
      </c>
      <c r="B306" s="11" t="s">
        <v>6</v>
      </c>
      <c r="C306" s="166">
        <v>43</v>
      </c>
      <c r="D306" s="85">
        <f>$K$18</f>
        <v>3</v>
      </c>
      <c r="E306" s="49">
        <f>C306*D306</f>
        <v>129</v>
      </c>
    </row>
    <row r="307" spans="1:5" x14ac:dyDescent="0.2">
      <c r="A307" t="s">
        <v>106</v>
      </c>
      <c r="B307" s="11" t="s">
        <v>6</v>
      </c>
      <c r="C307" s="166">
        <v>85</v>
      </c>
      <c r="D307" s="85">
        <v>0</v>
      </c>
      <c r="E307" s="49">
        <f>C307*D307</f>
        <v>0</v>
      </c>
    </row>
    <row r="308" spans="1:5" x14ac:dyDescent="0.2">
      <c r="A308" t="s">
        <v>100</v>
      </c>
      <c r="B308" s="11" t="s">
        <v>6</v>
      </c>
      <c r="C308" s="166">
        <v>275</v>
      </c>
      <c r="D308" s="85">
        <v>0</v>
      </c>
      <c r="E308" s="49">
        <f>C308*D308</f>
        <v>0</v>
      </c>
    </row>
    <row r="309" spans="1:5" x14ac:dyDescent="0.2">
      <c r="A309" s="21" t="s">
        <v>22</v>
      </c>
      <c r="B309" s="11"/>
      <c r="C309" s="42">
        <f>SUM(C306:C308)</f>
        <v>403</v>
      </c>
      <c r="D309" s="85"/>
      <c r="E309" s="49"/>
    </row>
    <row r="310" spans="1:5" x14ac:dyDescent="0.2">
      <c r="B310" s="11"/>
      <c r="D310" s="85"/>
      <c r="E310" s="49"/>
    </row>
    <row r="311" spans="1:5" ht="19" x14ac:dyDescent="0.25">
      <c r="A311" s="25" t="s">
        <v>107</v>
      </c>
      <c r="B311" s="11"/>
      <c r="D311" s="85"/>
      <c r="E311" s="49"/>
    </row>
    <row r="312" spans="1:5" ht="19" x14ac:dyDescent="0.25">
      <c r="A312" s="30" t="s">
        <v>122</v>
      </c>
      <c r="B312" s="11"/>
      <c r="D312" s="85"/>
      <c r="E312" s="49"/>
    </row>
    <row r="313" spans="1:5" x14ac:dyDescent="0.2">
      <c r="A313" s="14" t="s">
        <v>10</v>
      </c>
      <c r="B313" s="11"/>
      <c r="D313" s="85"/>
      <c r="E313" s="49"/>
    </row>
    <row r="314" spans="1:5" x14ac:dyDescent="0.2">
      <c r="A314" t="s">
        <v>108</v>
      </c>
      <c r="B314" s="11" t="s">
        <v>6</v>
      </c>
      <c r="C314" s="202">
        <f>C283</f>
        <v>18</v>
      </c>
      <c r="D314" s="85">
        <v>0</v>
      </c>
      <c r="E314" s="49">
        <f>C314*D314</f>
        <v>0</v>
      </c>
    </row>
    <row r="315" spans="1:5" ht="18" x14ac:dyDescent="0.2">
      <c r="A315" t="s">
        <v>128</v>
      </c>
      <c r="B315" s="11" t="s">
        <v>6</v>
      </c>
      <c r="C315" s="215">
        <f>C357</f>
        <v>20</v>
      </c>
      <c r="D315" s="85">
        <v>0</v>
      </c>
      <c r="E315" s="49">
        <f t="shared" ref="E315:E317" si="34">C315*D315</f>
        <v>0</v>
      </c>
    </row>
    <row r="316" spans="1:5" ht="18" x14ac:dyDescent="0.2">
      <c r="A316" t="s">
        <v>109</v>
      </c>
      <c r="B316" s="11" t="s">
        <v>6</v>
      </c>
      <c r="C316" s="215">
        <f>C360</f>
        <v>80</v>
      </c>
      <c r="D316" s="85">
        <v>0</v>
      </c>
      <c r="E316" s="49">
        <f t="shared" si="34"/>
        <v>0</v>
      </c>
    </row>
    <row r="317" spans="1:5" ht="18" x14ac:dyDescent="0.2">
      <c r="A317" t="s">
        <v>188</v>
      </c>
      <c r="B317" s="11" t="s">
        <v>6</v>
      </c>
      <c r="C317" s="215">
        <f>C363</f>
        <v>85</v>
      </c>
      <c r="D317" s="85">
        <v>0</v>
      </c>
      <c r="E317" s="49">
        <f t="shared" si="34"/>
        <v>0</v>
      </c>
    </row>
    <row r="318" spans="1:5" ht="18" x14ac:dyDescent="0.2">
      <c r="A318" t="s">
        <v>87</v>
      </c>
      <c r="B318" s="11" t="s">
        <v>40</v>
      </c>
      <c r="C318" s="216">
        <v>200</v>
      </c>
      <c r="D318" s="85">
        <f>O6</f>
        <v>2.5</v>
      </c>
      <c r="E318" s="85">
        <f>C318*D318/1000</f>
        <v>0.5</v>
      </c>
    </row>
    <row r="319" spans="1:5" x14ac:dyDescent="0.2">
      <c r="A319" s="21" t="s">
        <v>24</v>
      </c>
      <c r="B319" s="11"/>
      <c r="C319">
        <f>SUM(C314:C318)</f>
        <v>403</v>
      </c>
      <c r="D319" s="85"/>
      <c r="E319" s="85">
        <f>SUM(E314:E318)</f>
        <v>0.5</v>
      </c>
    </row>
    <row r="320" spans="1:5" x14ac:dyDescent="0.2">
      <c r="B320" s="11"/>
      <c r="D320" s="85"/>
      <c r="E320" s="49"/>
    </row>
    <row r="321" spans="1:5" x14ac:dyDescent="0.2">
      <c r="A321" s="12" t="s">
        <v>29</v>
      </c>
      <c r="B321" s="11"/>
      <c r="D321" s="85"/>
      <c r="E321" s="49"/>
    </row>
    <row r="322" spans="1:5" x14ac:dyDescent="0.2">
      <c r="A322" s="15" t="s">
        <v>21</v>
      </c>
      <c r="B322" s="16" t="s">
        <v>7</v>
      </c>
      <c r="C322" s="166">
        <v>0.5</v>
      </c>
      <c r="D322" s="85">
        <f>$H$6</f>
        <v>1100</v>
      </c>
      <c r="E322" s="49">
        <f>C322*D322</f>
        <v>550</v>
      </c>
    </row>
    <row r="323" spans="1:5" x14ac:dyDescent="0.2">
      <c r="D323" s="85"/>
      <c r="E323" s="49"/>
    </row>
    <row r="324" spans="1:5" ht="19" x14ac:dyDescent="0.25">
      <c r="A324" s="30" t="s">
        <v>123</v>
      </c>
      <c r="D324" s="85"/>
      <c r="E324" s="49"/>
    </row>
    <row r="325" spans="1:5" x14ac:dyDescent="0.2">
      <c r="A325" s="12" t="s">
        <v>11</v>
      </c>
      <c r="B325" s="11"/>
      <c r="D325" s="85"/>
      <c r="E325" s="49"/>
    </row>
    <row r="326" spans="1:5" x14ac:dyDescent="0.2">
      <c r="A326" s="15" t="s">
        <v>12</v>
      </c>
      <c r="B326" s="16" t="s">
        <v>7</v>
      </c>
      <c r="C326" s="166">
        <v>0.1</v>
      </c>
      <c r="D326" s="85">
        <f>$H$7</f>
        <v>2500</v>
      </c>
      <c r="E326" s="49">
        <f>C326*D326</f>
        <v>250</v>
      </c>
    </row>
    <row r="327" spans="1:5" x14ac:dyDescent="0.2">
      <c r="A327" s="19" t="s">
        <v>13</v>
      </c>
      <c r="B327" s="16" t="s">
        <v>7</v>
      </c>
      <c r="C327" s="166">
        <v>0.05</v>
      </c>
      <c r="D327" s="85">
        <f>$H$8</f>
        <v>1250</v>
      </c>
      <c r="E327" s="49">
        <f>C327*D327</f>
        <v>62.5</v>
      </c>
    </row>
    <row r="328" spans="1:5" x14ac:dyDescent="0.2">
      <c r="B328"/>
      <c r="D328" s="85"/>
      <c r="E328" s="49"/>
    </row>
    <row r="329" spans="1:5" ht="20" x14ac:dyDescent="0.2">
      <c r="A329" s="45" t="s">
        <v>232</v>
      </c>
      <c r="B329" s="11"/>
      <c r="D329" s="85"/>
      <c r="E329" s="172">
        <v>5000</v>
      </c>
    </row>
    <row r="330" spans="1:5" ht="19" x14ac:dyDescent="0.25">
      <c r="A330" s="25" t="s">
        <v>110</v>
      </c>
      <c r="B330" s="11"/>
      <c r="D330" s="85"/>
      <c r="E330" s="49"/>
    </row>
    <row r="331" spans="1:5" x14ac:dyDescent="0.2">
      <c r="A331" s="14" t="s">
        <v>10</v>
      </c>
      <c r="B331" s="11"/>
      <c r="D331" s="85"/>
      <c r="E331" s="49"/>
    </row>
    <row r="332" spans="1:5" x14ac:dyDescent="0.2">
      <c r="A332" t="s">
        <v>111</v>
      </c>
      <c r="B332" s="11" t="s">
        <v>6</v>
      </c>
      <c r="C332" s="166">
        <v>334</v>
      </c>
      <c r="D332" s="85">
        <f>K19</f>
        <v>1.5</v>
      </c>
      <c r="E332" s="49">
        <f t="shared" ref="E332:E334" si="35">C332*D332</f>
        <v>501</v>
      </c>
    </row>
    <row r="333" spans="1:5" x14ac:dyDescent="0.2">
      <c r="A333" t="s">
        <v>205</v>
      </c>
      <c r="B333" s="11" t="s">
        <v>6</v>
      </c>
      <c r="C333" s="166">
        <v>28</v>
      </c>
      <c r="D333" s="85">
        <f>K20</f>
        <v>1</v>
      </c>
      <c r="E333" s="49">
        <f t="shared" si="35"/>
        <v>28</v>
      </c>
    </row>
    <row r="334" spans="1:5" x14ac:dyDescent="0.2">
      <c r="A334" t="s">
        <v>100</v>
      </c>
      <c r="B334" s="11" t="s">
        <v>6</v>
      </c>
      <c r="C334" s="166">
        <v>192</v>
      </c>
      <c r="D334" s="85">
        <v>0</v>
      </c>
      <c r="E334" s="49">
        <f t="shared" si="35"/>
        <v>0</v>
      </c>
    </row>
    <row r="335" spans="1:5" x14ac:dyDescent="0.2">
      <c r="A335" s="21" t="s">
        <v>22</v>
      </c>
      <c r="B335" s="11"/>
      <c r="C335">
        <f>SUM(C332:C334)</f>
        <v>554</v>
      </c>
      <c r="D335" s="85"/>
      <c r="E335" s="49"/>
    </row>
    <row r="336" spans="1:5" x14ac:dyDescent="0.2">
      <c r="B336" s="11"/>
      <c r="D336" s="85"/>
      <c r="E336" s="49"/>
    </row>
    <row r="337" spans="1:5" ht="19" x14ac:dyDescent="0.25">
      <c r="A337" s="25" t="s">
        <v>112</v>
      </c>
      <c r="B337" s="11"/>
      <c r="D337" s="85"/>
      <c r="E337" s="49"/>
    </row>
    <row r="338" spans="1:5" ht="19" x14ac:dyDescent="0.25">
      <c r="A338" s="30" t="s">
        <v>122</v>
      </c>
      <c r="B338" s="11"/>
      <c r="D338" s="85"/>
      <c r="E338" s="49"/>
    </row>
    <row r="339" spans="1:5" x14ac:dyDescent="0.2">
      <c r="A339" s="14" t="s">
        <v>10</v>
      </c>
      <c r="B339" s="11"/>
      <c r="D339" s="85"/>
      <c r="E339" s="49"/>
    </row>
    <row r="340" spans="1:5" x14ac:dyDescent="0.2">
      <c r="A340" t="s">
        <v>113</v>
      </c>
      <c r="B340" s="11" t="s">
        <v>6</v>
      </c>
      <c r="C340" s="202">
        <f>C137</f>
        <v>400</v>
      </c>
      <c r="D340" s="85">
        <v>0</v>
      </c>
      <c r="E340" s="49">
        <f>C340*D340</f>
        <v>0</v>
      </c>
    </row>
    <row r="341" spans="1:5" x14ac:dyDescent="0.2">
      <c r="A341" t="s">
        <v>114</v>
      </c>
      <c r="B341" s="11" t="s">
        <v>6</v>
      </c>
      <c r="C341" s="202">
        <f>C284</f>
        <v>69</v>
      </c>
      <c r="D341" s="85">
        <v>0</v>
      </c>
      <c r="E341" s="49">
        <f>C341*D341</f>
        <v>0</v>
      </c>
    </row>
    <row r="342" spans="1:5" x14ac:dyDescent="0.2">
      <c r="A342" t="s">
        <v>115</v>
      </c>
      <c r="B342" s="11" t="s">
        <v>6</v>
      </c>
      <c r="C342" s="202">
        <f>C307</f>
        <v>85</v>
      </c>
      <c r="D342" s="85">
        <v>0</v>
      </c>
      <c r="E342" s="49">
        <f>C342*D342</f>
        <v>0</v>
      </c>
    </row>
    <row r="343" spans="1:5" x14ac:dyDescent="0.2">
      <c r="A343" s="21" t="s">
        <v>24</v>
      </c>
      <c r="B343" s="11"/>
      <c r="C343">
        <f>SUM(C340:C342)</f>
        <v>554</v>
      </c>
      <c r="D343" s="85"/>
      <c r="E343" s="49"/>
    </row>
    <row r="344" spans="1:5" x14ac:dyDescent="0.2">
      <c r="B344" s="11"/>
      <c r="D344" s="85"/>
      <c r="E344" s="49"/>
    </row>
    <row r="345" spans="1:5" x14ac:dyDescent="0.2">
      <c r="A345" s="12" t="s">
        <v>29</v>
      </c>
      <c r="B345" s="11"/>
      <c r="D345" s="85"/>
      <c r="E345" s="49"/>
    </row>
    <row r="346" spans="1:5" x14ac:dyDescent="0.2">
      <c r="A346" s="15" t="s">
        <v>21</v>
      </c>
      <c r="B346" s="16" t="s">
        <v>7</v>
      </c>
      <c r="C346" s="166">
        <v>0.3</v>
      </c>
      <c r="D346" s="85">
        <f>$H$6</f>
        <v>1100</v>
      </c>
      <c r="E346" s="49">
        <f>C346*D346</f>
        <v>330</v>
      </c>
    </row>
    <row r="347" spans="1:5" x14ac:dyDescent="0.2">
      <c r="D347" s="85"/>
      <c r="E347" s="49"/>
    </row>
    <row r="348" spans="1:5" ht="19" x14ac:dyDescent="0.25">
      <c r="A348" s="30" t="s">
        <v>123</v>
      </c>
      <c r="D348" s="85"/>
      <c r="E348" s="49"/>
    </row>
    <row r="349" spans="1:5" x14ac:dyDescent="0.2">
      <c r="A349" s="12" t="s">
        <v>11</v>
      </c>
      <c r="B349" s="11"/>
      <c r="D349" s="85"/>
      <c r="E349" s="49"/>
    </row>
    <row r="350" spans="1:5" x14ac:dyDescent="0.2">
      <c r="A350" s="15" t="s">
        <v>12</v>
      </c>
      <c r="B350" s="16" t="s">
        <v>7</v>
      </c>
      <c r="C350" s="166">
        <v>0.05</v>
      </c>
      <c r="D350" s="85">
        <f>$H$7</f>
        <v>2500</v>
      </c>
      <c r="E350" s="49">
        <f>C350*D350</f>
        <v>125</v>
      </c>
    </row>
    <row r="351" spans="1:5" x14ac:dyDescent="0.2">
      <c r="A351" s="19" t="s">
        <v>13</v>
      </c>
      <c r="B351" s="16" t="s">
        <v>7</v>
      </c>
      <c r="C351" s="166">
        <v>0.05</v>
      </c>
      <c r="D351" s="85">
        <f>$H$8</f>
        <v>1250</v>
      </c>
      <c r="E351" s="49">
        <f>C351*D351</f>
        <v>62.5</v>
      </c>
    </row>
    <row r="352" spans="1:5" x14ac:dyDescent="0.2">
      <c r="D352" s="85"/>
      <c r="E352" s="49"/>
    </row>
    <row r="353" spans="1:12" ht="20" x14ac:dyDescent="0.2">
      <c r="A353" s="46" t="s">
        <v>233</v>
      </c>
      <c r="B353" s="11"/>
      <c r="D353" s="85"/>
      <c r="E353" s="172">
        <v>25000</v>
      </c>
    </row>
    <row r="354" spans="1:12" ht="19" x14ac:dyDescent="0.25">
      <c r="A354" s="25" t="s">
        <v>116</v>
      </c>
      <c r="B354" s="11"/>
      <c r="D354" s="85"/>
      <c r="E354" s="49"/>
    </row>
    <row r="355" spans="1:12" x14ac:dyDescent="0.2">
      <c r="A355" s="14" t="s">
        <v>10</v>
      </c>
      <c r="B355" s="11"/>
      <c r="D355" s="85"/>
      <c r="E355" s="49"/>
    </row>
    <row r="356" spans="1:12" ht="18" x14ac:dyDescent="0.2">
      <c r="A356" t="s">
        <v>248</v>
      </c>
      <c r="B356" s="11" t="s">
        <v>6</v>
      </c>
      <c r="C356" s="216">
        <v>600</v>
      </c>
      <c r="D356" s="85">
        <v>0</v>
      </c>
      <c r="E356" s="49">
        <f t="shared" ref="E356" si="36">C356*D356</f>
        <v>0</v>
      </c>
    </row>
    <row r="357" spans="1:12" ht="18" x14ac:dyDescent="0.2">
      <c r="A357" t="s">
        <v>249</v>
      </c>
      <c r="B357" s="11" t="s">
        <v>6</v>
      </c>
      <c r="C357" s="216">
        <v>20</v>
      </c>
      <c r="D357" s="85">
        <v>0</v>
      </c>
      <c r="E357" s="49">
        <f t="shared" ref="E357" si="37">C357*D357</f>
        <v>0</v>
      </c>
    </row>
    <row r="358" spans="1:12" ht="18" x14ac:dyDescent="0.2">
      <c r="A358" t="s">
        <v>206</v>
      </c>
      <c r="B358" s="11" t="s">
        <v>6</v>
      </c>
      <c r="C358" s="216">
        <v>130</v>
      </c>
      <c r="D358" s="85">
        <v>0.3</v>
      </c>
      <c r="E358" s="49">
        <f>C358*D358</f>
        <v>39</v>
      </c>
    </row>
    <row r="359" spans="1:12" ht="18" x14ac:dyDescent="0.2">
      <c r="A359" t="s">
        <v>246</v>
      </c>
      <c r="B359" s="11" t="s">
        <v>6</v>
      </c>
      <c r="C359" s="216">
        <v>620</v>
      </c>
      <c r="D359" s="85">
        <v>0</v>
      </c>
      <c r="E359" s="49">
        <f>C359*D359</f>
        <v>0</v>
      </c>
    </row>
    <row r="360" spans="1:12" ht="18" x14ac:dyDescent="0.2">
      <c r="A360" t="s">
        <v>247</v>
      </c>
      <c r="B360" s="11" t="s">
        <v>6</v>
      </c>
      <c r="C360" s="216">
        <v>80</v>
      </c>
      <c r="D360" s="85">
        <v>0</v>
      </c>
      <c r="E360" s="49">
        <f t="shared" ref="E360" si="38">C360*D360</f>
        <v>0</v>
      </c>
    </row>
    <row r="361" spans="1:12" ht="18" x14ac:dyDescent="0.2">
      <c r="A361" t="s">
        <v>208</v>
      </c>
      <c r="B361" s="11" t="s">
        <v>6</v>
      </c>
      <c r="C361" s="216">
        <v>207</v>
      </c>
      <c r="D361" s="85">
        <v>0.1</v>
      </c>
      <c r="E361" s="49">
        <f t="shared" ref="E361" si="39">C361*D361</f>
        <v>20.700000000000003</v>
      </c>
    </row>
    <row r="362" spans="1:12" ht="18" x14ac:dyDescent="0.2">
      <c r="A362" t="s">
        <v>244</v>
      </c>
      <c r="B362" s="11" t="s">
        <v>6</v>
      </c>
      <c r="C362" s="216">
        <v>568</v>
      </c>
      <c r="D362" s="85">
        <v>0</v>
      </c>
      <c r="E362" s="49">
        <f>C362*D362</f>
        <v>0</v>
      </c>
    </row>
    <row r="363" spans="1:12" ht="18" x14ac:dyDescent="0.2">
      <c r="A363" t="s">
        <v>245</v>
      </c>
      <c r="B363" s="11" t="s">
        <v>6</v>
      </c>
      <c r="C363" s="216">
        <v>85</v>
      </c>
      <c r="D363" s="85">
        <v>0</v>
      </c>
      <c r="E363" s="49">
        <f t="shared" ref="E363" si="40">C363*D363</f>
        <v>0</v>
      </c>
    </row>
    <row r="364" spans="1:12" ht="18" x14ac:dyDescent="0.2">
      <c r="A364" t="s">
        <v>207</v>
      </c>
      <c r="B364" s="11" t="s">
        <v>6</v>
      </c>
      <c r="C364" s="216">
        <v>180</v>
      </c>
      <c r="D364" s="85">
        <v>0.1</v>
      </c>
      <c r="E364" s="49">
        <f t="shared" ref="E364" si="41">C364*D364</f>
        <v>18</v>
      </c>
      <c r="G364" s="31"/>
      <c r="H364" s="31"/>
      <c r="I364" s="31"/>
      <c r="J364" s="31"/>
      <c r="K364" s="31"/>
      <c r="L364" s="31"/>
    </row>
    <row r="365" spans="1:12" ht="18" x14ac:dyDescent="0.2">
      <c r="A365" t="s">
        <v>117</v>
      </c>
      <c r="B365" s="11" t="s">
        <v>6</v>
      </c>
      <c r="C365" s="216">
        <v>3</v>
      </c>
      <c r="D365" s="85">
        <v>0</v>
      </c>
      <c r="E365" s="49">
        <f>C365*D365</f>
        <v>0</v>
      </c>
      <c r="G365" s="31"/>
      <c r="H365" s="31"/>
      <c r="I365" s="31"/>
      <c r="J365" s="31"/>
      <c r="K365" s="31"/>
      <c r="L365" s="31"/>
    </row>
    <row r="366" spans="1:12" x14ac:dyDescent="0.2">
      <c r="A366" t="s">
        <v>118</v>
      </c>
      <c r="B366" s="11" t="s">
        <v>40</v>
      </c>
      <c r="C366" s="166">
        <v>5268</v>
      </c>
      <c r="D366" s="85">
        <v>0</v>
      </c>
      <c r="E366" s="49">
        <f>C366*D366</f>
        <v>0</v>
      </c>
      <c r="G366" s="31"/>
      <c r="H366" s="31"/>
      <c r="I366" s="31"/>
      <c r="J366" s="31"/>
      <c r="K366" s="31"/>
      <c r="L366" s="31"/>
    </row>
    <row r="367" spans="1:12" x14ac:dyDescent="0.2">
      <c r="A367" s="21" t="s">
        <v>22</v>
      </c>
      <c r="B367" s="11"/>
      <c r="C367">
        <f>SUM(C356:C366)</f>
        <v>7761</v>
      </c>
      <c r="D367" s="85"/>
      <c r="E367" s="49"/>
      <c r="G367" s="31"/>
      <c r="H367" s="31"/>
      <c r="I367" s="31"/>
      <c r="J367" s="31"/>
      <c r="K367" s="31"/>
      <c r="L367" s="31"/>
    </row>
    <row r="368" spans="1:12" x14ac:dyDescent="0.2">
      <c r="B368" s="11"/>
      <c r="D368" s="85"/>
      <c r="E368" s="49"/>
      <c r="G368" s="31"/>
      <c r="H368" s="31"/>
      <c r="I368" s="31"/>
      <c r="J368" s="31"/>
      <c r="K368" s="31"/>
      <c r="L368" s="31"/>
    </row>
    <row r="369" spans="1:12" ht="19" x14ac:dyDescent="0.25">
      <c r="A369" s="25" t="s">
        <v>119</v>
      </c>
      <c r="B369" s="11"/>
      <c r="D369" s="85"/>
      <c r="E369" s="49"/>
      <c r="G369" s="31"/>
      <c r="H369" s="31"/>
      <c r="I369" s="31"/>
      <c r="J369" s="31"/>
      <c r="K369" s="31"/>
      <c r="L369" s="31"/>
    </row>
    <row r="370" spans="1:12" ht="19" x14ac:dyDescent="0.25">
      <c r="A370" s="30" t="s">
        <v>122</v>
      </c>
      <c r="B370" s="11"/>
      <c r="D370" s="85"/>
      <c r="E370" s="49"/>
      <c r="G370" s="31"/>
      <c r="H370" s="31"/>
      <c r="I370" s="31"/>
      <c r="J370" s="31"/>
      <c r="K370" s="31"/>
      <c r="L370" s="31"/>
    </row>
    <row r="371" spans="1:12" x14ac:dyDescent="0.2">
      <c r="A371" s="14" t="s">
        <v>10</v>
      </c>
      <c r="B371" s="11"/>
      <c r="D371" s="85"/>
      <c r="E371" s="49"/>
      <c r="G371" s="31"/>
      <c r="H371" s="31"/>
      <c r="I371" s="31"/>
      <c r="J371" s="31"/>
      <c r="K371" s="31"/>
      <c r="L371" s="31"/>
    </row>
    <row r="372" spans="1:12" x14ac:dyDescent="0.2">
      <c r="A372" t="s">
        <v>250</v>
      </c>
      <c r="B372" s="11" t="s">
        <v>40</v>
      </c>
      <c r="C372" s="202">
        <f>C136</f>
        <v>1233</v>
      </c>
      <c r="D372" s="85">
        <v>0</v>
      </c>
      <c r="E372" s="49">
        <f>C372*D372/1000</f>
        <v>0</v>
      </c>
      <c r="G372" s="31"/>
      <c r="H372" s="31"/>
      <c r="I372" s="31"/>
      <c r="J372" s="31"/>
      <c r="K372" s="31"/>
      <c r="L372" s="31"/>
    </row>
    <row r="373" spans="1:12" x14ac:dyDescent="0.2">
      <c r="A373" t="s">
        <v>251</v>
      </c>
      <c r="B373" s="11" t="s">
        <v>40</v>
      </c>
      <c r="C373" s="202">
        <f>C23</f>
        <v>6528</v>
      </c>
      <c r="D373" s="85">
        <v>0</v>
      </c>
      <c r="E373" s="49">
        <f>C373*D373/1000</f>
        <v>0</v>
      </c>
      <c r="G373" s="31"/>
      <c r="H373" s="31"/>
      <c r="I373" s="31"/>
      <c r="J373" s="31"/>
      <c r="K373" s="31"/>
      <c r="L373" s="31"/>
    </row>
    <row r="374" spans="1:12" x14ac:dyDescent="0.2">
      <c r="A374" s="21" t="s">
        <v>24</v>
      </c>
      <c r="B374" s="11"/>
      <c r="C374">
        <f>SUM(C372:C373)</f>
        <v>7761</v>
      </c>
      <c r="D374" s="85"/>
      <c r="E374" s="49"/>
      <c r="G374" s="31"/>
      <c r="H374" s="31"/>
      <c r="I374" s="31"/>
      <c r="J374" s="31"/>
      <c r="K374" s="31"/>
      <c r="L374" s="31"/>
    </row>
    <row r="375" spans="1:12" x14ac:dyDescent="0.2">
      <c r="B375" s="11"/>
      <c r="D375" s="85"/>
      <c r="E375" s="49"/>
      <c r="G375" s="31"/>
      <c r="H375" s="31"/>
      <c r="I375" s="31"/>
      <c r="J375" s="31"/>
      <c r="K375" s="31"/>
      <c r="L375" s="31"/>
    </row>
    <row r="376" spans="1:12" x14ac:dyDescent="0.2">
      <c r="A376" s="14" t="s">
        <v>18</v>
      </c>
      <c r="B376" s="11"/>
      <c r="D376" s="85"/>
      <c r="E376" s="49"/>
    </row>
    <row r="377" spans="1:12" x14ac:dyDescent="0.2">
      <c r="D377" s="85"/>
      <c r="E377" s="49"/>
    </row>
    <row r="378" spans="1:12" x14ac:dyDescent="0.2">
      <c r="A378" s="12" t="s">
        <v>29</v>
      </c>
      <c r="B378" s="11"/>
      <c r="D378" s="85"/>
      <c r="E378" s="49"/>
    </row>
    <row r="379" spans="1:12" x14ac:dyDescent="0.2">
      <c r="A379" s="15" t="s">
        <v>21</v>
      </c>
      <c r="B379" s="16" t="s">
        <v>7</v>
      </c>
      <c r="C379" s="166">
        <v>0.3</v>
      </c>
      <c r="D379" s="85">
        <f>$H$6</f>
        <v>1100</v>
      </c>
      <c r="E379" s="49">
        <f>C379*D379</f>
        <v>330</v>
      </c>
    </row>
    <row r="380" spans="1:12" x14ac:dyDescent="0.2">
      <c r="D380" s="85"/>
      <c r="E380" s="49"/>
    </row>
    <row r="381" spans="1:12" ht="19" x14ac:dyDescent="0.25">
      <c r="A381" s="30" t="s">
        <v>123</v>
      </c>
      <c r="D381" s="85"/>
      <c r="E381" s="49"/>
    </row>
    <row r="382" spans="1:12" x14ac:dyDescent="0.2">
      <c r="A382" s="12" t="s">
        <v>11</v>
      </c>
      <c r="B382" s="11"/>
      <c r="D382" s="85"/>
      <c r="E382" s="49"/>
    </row>
    <row r="383" spans="1:12" x14ac:dyDescent="0.2">
      <c r="A383" s="15" t="s">
        <v>12</v>
      </c>
      <c r="B383" s="16" t="s">
        <v>7</v>
      </c>
      <c r="C383" s="166">
        <v>0.05</v>
      </c>
      <c r="D383" s="85">
        <f>$H$7</f>
        <v>2500</v>
      </c>
      <c r="E383" s="49">
        <f>C383*D383</f>
        <v>125</v>
      </c>
    </row>
    <row r="384" spans="1:12" x14ac:dyDescent="0.2">
      <c r="A384" s="19" t="s">
        <v>13</v>
      </c>
      <c r="B384" s="16" t="s">
        <v>7</v>
      </c>
      <c r="C384" s="166">
        <v>0.05</v>
      </c>
      <c r="D384" s="85">
        <f>$H$8</f>
        <v>1250</v>
      </c>
      <c r="E384" s="49">
        <f>C384*D384</f>
        <v>62.5</v>
      </c>
    </row>
    <row r="385" spans="5:5" x14ac:dyDescent="0.2">
      <c r="E385" s="49"/>
    </row>
  </sheetData>
  <sheetProtection algorithmName="SHA-512" hashValue="4GjBmlaOKeVmso8mlw3/sfIP6hMPAKofxNAx2Ljo4z09My+L9JZCaNcpu+3y6jC76w13u3imHDX5+AQS546aRg==" saltValue="UEA0oS0YjbK3icv1zgG72g==" spinCount="100000" sheet="1" objects="1" scenarios="1"/>
  <protectedRanges>
    <protectedRange sqref="B4 B98:B122 B131:B156 B158 A157:C157 B195:B204 B166:B186 B209:B223 B329:B344 B279:B294 B75:B90 C5:C7 B63:B70 B231:B244 B352:B377 B264:B271 B385:B1048576 B248:B262 B302:B320" name="Bcolumn"/>
  </protectedRanges>
  <mergeCells count="6">
    <mergeCell ref="G22:H23"/>
    <mergeCell ref="CF2:CG2"/>
    <mergeCell ref="G2:O2"/>
    <mergeCell ref="G5:H5"/>
    <mergeCell ref="J5:K5"/>
    <mergeCell ref="N5:O5"/>
  </mergeCells>
  <pageMargins left="0.7" right="0.7" top="0.75" bottom="0.75" header="0.3" footer="0.3"/>
  <pageSetup paperSize="9" orientation="portrait" horizontalDpi="0" verticalDpi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96444-C792-1546-A9BC-A2EACEC98426}">
  <dimension ref="A1:AP69"/>
  <sheetViews>
    <sheetView workbookViewId="0">
      <selection activeCell="U57" sqref="U57"/>
    </sheetView>
  </sheetViews>
  <sheetFormatPr baseColWidth="10" defaultRowHeight="16" x14ac:dyDescent="0.2"/>
  <cols>
    <col min="1" max="1" width="14.33203125" customWidth="1"/>
    <col min="2" max="2" width="7.83203125" customWidth="1"/>
    <col min="3" max="6" width="8.6640625" customWidth="1"/>
    <col min="7" max="7" width="7.1640625" customWidth="1"/>
    <col min="8" max="8" width="6.1640625" customWidth="1"/>
    <col min="9" max="9" width="6.33203125" customWidth="1"/>
    <col min="10" max="10" width="6.1640625" customWidth="1"/>
    <col min="11" max="11" width="8.6640625" customWidth="1"/>
    <col min="12" max="12" width="7.5" customWidth="1"/>
    <col min="13" max="13" width="6.83203125" customWidth="1"/>
    <col min="14" max="14" width="9.1640625" customWidth="1"/>
    <col min="15" max="15" width="5.83203125" customWidth="1"/>
    <col min="16" max="16" width="9.1640625" customWidth="1"/>
    <col min="17" max="17" width="5.83203125" bestFit="1" customWidth="1"/>
    <col min="18" max="18" width="7" customWidth="1"/>
    <col min="19" max="19" width="8.83203125" customWidth="1"/>
    <col min="20" max="20" width="6.33203125" customWidth="1"/>
    <col min="21" max="21" width="5.6640625" bestFit="1" customWidth="1"/>
    <col min="22" max="22" width="6" customWidth="1"/>
    <col min="23" max="23" width="7.83203125" customWidth="1"/>
    <col min="24" max="24" width="5.1640625" bestFit="1" customWidth="1"/>
    <col min="25" max="25" width="7.1640625" customWidth="1"/>
    <col min="26" max="26" width="5.83203125" customWidth="1"/>
    <col min="27" max="28" width="5.1640625" customWidth="1"/>
    <col min="29" max="29" width="4.6640625" bestFit="1" customWidth="1"/>
    <col min="30" max="30" width="5.1640625" bestFit="1" customWidth="1"/>
    <col min="31" max="31" width="5.83203125" customWidth="1"/>
    <col min="32" max="32" width="8.83203125"/>
    <col min="33" max="33" width="5.33203125" customWidth="1"/>
    <col min="34" max="34" width="7" customWidth="1"/>
    <col min="35" max="35" width="8.1640625" bestFit="1" customWidth="1"/>
    <col min="36" max="36" width="7" customWidth="1"/>
    <col min="37" max="37" width="6.1640625" customWidth="1"/>
    <col min="38" max="38" width="7.6640625" customWidth="1"/>
    <col min="39" max="39" width="5.5" customWidth="1"/>
    <col min="40" max="40" width="5.83203125" customWidth="1"/>
    <col min="41" max="41" width="7.6640625" customWidth="1"/>
    <col min="42" max="42" width="8.1640625" customWidth="1"/>
  </cols>
  <sheetData>
    <row r="1" spans="1:42" ht="26" customHeight="1" x14ac:dyDescent="0.35">
      <c r="A1" s="164" t="s">
        <v>321</v>
      </c>
    </row>
    <row r="3" spans="1:42" ht="80" x14ac:dyDescent="0.2">
      <c r="A3" s="105"/>
      <c r="B3" s="106" t="s">
        <v>259</v>
      </c>
      <c r="C3" s="107" t="s">
        <v>260</v>
      </c>
      <c r="D3" s="108" t="s">
        <v>261</v>
      </c>
      <c r="E3" s="109" t="s">
        <v>262</v>
      </c>
      <c r="F3" s="46" t="s">
        <v>263</v>
      </c>
      <c r="G3" s="110" t="s">
        <v>264</v>
      </c>
      <c r="H3" s="110" t="s">
        <v>265</v>
      </c>
      <c r="I3" s="110" t="s">
        <v>266</v>
      </c>
      <c r="J3" s="110" t="s">
        <v>267</v>
      </c>
      <c r="K3" s="111" t="s">
        <v>268</v>
      </c>
      <c r="L3" s="112" t="s">
        <v>179</v>
      </c>
      <c r="M3" s="112" t="s">
        <v>253</v>
      </c>
      <c r="N3" s="22" t="s">
        <v>36</v>
      </c>
      <c r="O3" s="113" t="s">
        <v>182</v>
      </c>
      <c r="P3" s="37" t="s">
        <v>269</v>
      </c>
      <c r="Q3" s="114" t="s">
        <v>270</v>
      </c>
      <c r="R3" s="114" t="s">
        <v>271</v>
      </c>
      <c r="S3" s="38" t="s">
        <v>272</v>
      </c>
      <c r="T3" s="115" t="s">
        <v>273</v>
      </c>
      <c r="U3" s="115" t="s">
        <v>274</v>
      </c>
      <c r="V3" s="39" t="s">
        <v>73</v>
      </c>
      <c r="W3" s="40" t="s">
        <v>275</v>
      </c>
      <c r="X3" s="196" t="s">
        <v>181</v>
      </c>
      <c r="Y3" s="41" t="s">
        <v>276</v>
      </c>
      <c r="Z3" s="116" t="s">
        <v>277</v>
      </c>
      <c r="AA3" s="116" t="s">
        <v>184</v>
      </c>
      <c r="AB3" s="116" t="s">
        <v>278</v>
      </c>
      <c r="AC3" s="43" t="s">
        <v>96</v>
      </c>
      <c r="AD3" s="117" t="s">
        <v>279</v>
      </c>
      <c r="AE3" s="117" t="s">
        <v>280</v>
      </c>
      <c r="AF3" s="44" t="s">
        <v>281</v>
      </c>
      <c r="AG3" s="118" t="s">
        <v>282</v>
      </c>
      <c r="AH3" s="118" t="s">
        <v>283</v>
      </c>
      <c r="AI3" s="45" t="s">
        <v>284</v>
      </c>
      <c r="AJ3" s="119" t="s">
        <v>285</v>
      </c>
      <c r="AK3" s="119" t="s">
        <v>286</v>
      </c>
      <c r="AL3" s="120" t="s">
        <v>287</v>
      </c>
      <c r="AM3" s="120" t="s">
        <v>288</v>
      </c>
      <c r="AN3" s="120" t="s">
        <v>289</v>
      </c>
      <c r="AO3" s="120" t="s">
        <v>290</v>
      </c>
      <c r="AP3" s="120" t="s">
        <v>291</v>
      </c>
    </row>
    <row r="4" spans="1:42" ht="19" x14ac:dyDescent="0.2">
      <c r="A4" s="121" t="s">
        <v>292</v>
      </c>
      <c r="B4" s="105"/>
      <c r="C4" s="105"/>
      <c r="D4" s="105"/>
      <c r="E4" s="105"/>
      <c r="F4" s="105"/>
      <c r="G4" s="105"/>
      <c r="H4" s="105"/>
      <c r="I4" s="105"/>
      <c r="J4" s="105"/>
      <c r="K4" s="207">
        <f>Main!$C$46</f>
        <v>123</v>
      </c>
      <c r="N4" s="207">
        <f>Main!$C$88</f>
        <v>32</v>
      </c>
      <c r="P4" s="207">
        <f>Main!$C$120</f>
        <v>4</v>
      </c>
      <c r="W4" s="207">
        <f>Main!$C$218</f>
        <v>1958</v>
      </c>
      <c r="X4" s="105"/>
      <c r="Y4" s="207">
        <f>Main!$C$257</f>
        <v>84</v>
      </c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20"/>
      <c r="AO4">
        <f>SUM(B4:AN4)</f>
        <v>2201</v>
      </c>
      <c r="AP4">
        <f>SUM(AO4:AO5)-B48</f>
        <v>0</v>
      </c>
    </row>
    <row r="5" spans="1:42" x14ac:dyDescent="0.2">
      <c r="A5" s="122" t="s">
        <v>293</v>
      </c>
      <c r="Y5" s="122">
        <f>Main!$C$258</f>
        <v>26</v>
      </c>
      <c r="AO5">
        <f>SUM(B5:AN5)</f>
        <v>26</v>
      </c>
    </row>
    <row r="6" spans="1:42" x14ac:dyDescent="0.2">
      <c r="A6" s="107" t="s">
        <v>260</v>
      </c>
      <c r="AO6">
        <f>SUM(B6:AN6)</f>
        <v>0</v>
      </c>
      <c r="AP6">
        <f>SUM(AO6:AO10)-C48</f>
        <v>0</v>
      </c>
    </row>
    <row r="7" spans="1:42" ht="17" x14ac:dyDescent="0.2">
      <c r="A7" s="123" t="s">
        <v>356</v>
      </c>
      <c r="K7" s="62">
        <f>Main!$C$29</f>
        <v>46</v>
      </c>
      <c r="AL7" s="62">
        <f>Main!$C$30</f>
        <v>77</v>
      </c>
      <c r="AO7" s="62">
        <f t="shared" ref="AO7:AO13" si="0">SUM(B7:AN7)</f>
        <v>123</v>
      </c>
    </row>
    <row r="8" spans="1:42" ht="17" x14ac:dyDescent="0.2">
      <c r="A8" s="124" t="s">
        <v>357</v>
      </c>
      <c r="N8" s="125">
        <f>Main!$C$72</f>
        <v>32</v>
      </c>
      <c r="AO8" s="125">
        <f t="shared" si="0"/>
        <v>32</v>
      </c>
    </row>
    <row r="9" spans="1:42" ht="17" x14ac:dyDescent="0.2">
      <c r="A9" s="126" t="s">
        <v>294</v>
      </c>
      <c r="S9" s="122">
        <f>Main!$C$154</f>
        <v>10</v>
      </c>
      <c r="Y9" s="122">
        <f>Main!$C$267</f>
        <v>33</v>
      </c>
      <c r="AL9" s="122">
        <f>Main!$C$178</f>
        <v>14</v>
      </c>
      <c r="AO9" s="122">
        <f t="shared" si="0"/>
        <v>57</v>
      </c>
    </row>
    <row r="10" spans="1:42" ht="17" x14ac:dyDescent="0.2">
      <c r="A10" s="196" t="s">
        <v>295</v>
      </c>
      <c r="Y10" s="195">
        <f>Main!$C$206</f>
        <v>792</v>
      </c>
      <c r="AM10" s="127">
        <f>Main!$C$207</f>
        <v>1101</v>
      </c>
      <c r="AO10">
        <f t="shared" si="0"/>
        <v>1893</v>
      </c>
    </row>
    <row r="11" spans="1:42" ht="18" x14ac:dyDescent="0.2">
      <c r="A11" s="108" t="s">
        <v>254</v>
      </c>
      <c r="K11" s="206">
        <f>Main!$C$49</f>
        <v>10</v>
      </c>
      <c r="W11" s="206">
        <f>Main!$C$221</f>
        <v>90</v>
      </c>
      <c r="Y11" s="206">
        <f>Main!$C$261</f>
        <v>90</v>
      </c>
      <c r="AO11">
        <f t="shared" si="0"/>
        <v>190</v>
      </c>
      <c r="AP11">
        <f>SUM(AO11:AO13)-D48</f>
        <v>0</v>
      </c>
    </row>
    <row r="12" spans="1:42" x14ac:dyDescent="0.2">
      <c r="A12" s="62" t="s">
        <v>296</v>
      </c>
      <c r="AN12" s="62">
        <f>Main!$C$31</f>
        <v>100</v>
      </c>
      <c r="AO12">
        <f t="shared" si="0"/>
        <v>100</v>
      </c>
    </row>
    <row r="13" spans="1:42" ht="17" x14ac:dyDescent="0.2">
      <c r="A13" s="126" t="s">
        <v>297</v>
      </c>
      <c r="AN13" s="122">
        <f>Main!$C$179</f>
        <v>177</v>
      </c>
      <c r="AO13">
        <f t="shared" si="0"/>
        <v>177</v>
      </c>
    </row>
    <row r="14" spans="1:42" ht="18" x14ac:dyDescent="0.2">
      <c r="A14" s="128" t="s">
        <v>262</v>
      </c>
      <c r="F14" s="62">
        <f>Main!$C$373</f>
        <v>6528</v>
      </c>
      <c r="K14" s="208">
        <f>Main!$C$41</f>
        <v>10120</v>
      </c>
      <c r="N14" s="208">
        <f>Main!$C$80</f>
        <v>328</v>
      </c>
      <c r="P14" s="62">
        <f>Main!$C$114</f>
        <v>479</v>
      </c>
      <c r="W14" s="208">
        <f>Main!$C$213</f>
        <v>26370</v>
      </c>
      <c r="Y14" s="198">
        <f>Main!C201+Main!C202</f>
        <v>26266</v>
      </c>
      <c r="AB14" s="129">
        <f>Main!$C$240</f>
        <v>1000</v>
      </c>
      <c r="AF14" s="208">
        <f>Main!$C$318</f>
        <v>200</v>
      </c>
      <c r="AO14">
        <f t="shared" ref="AO14:AO22" si="1">SUM(E14:AN14)</f>
        <v>71291</v>
      </c>
      <c r="AP14" cm="1">
        <f t="array" ref="AP14">AO14 - INDEX($E$48:$AH$48, 1, ROWS($AO$5:AO14)-9)</f>
        <v>0</v>
      </c>
    </row>
    <row r="15" spans="1:42" ht="19" x14ac:dyDescent="0.2">
      <c r="A15" s="130" t="s">
        <v>298</v>
      </c>
      <c r="G15" s="203">
        <f>Main!$C$356+Main!$C$357+Main!$C$358</f>
        <v>750</v>
      </c>
      <c r="H15" s="203">
        <f>Main!$C$359+Main!$C$360+Main!$C$361</f>
        <v>907</v>
      </c>
      <c r="I15" s="203">
        <f>Main!$C$365</f>
        <v>3</v>
      </c>
      <c r="J15" s="203">
        <f>Main!$C$362+Main!$C$363+Main!$C$364</f>
        <v>833</v>
      </c>
      <c r="AL15" s="131">
        <f>Main!$C$366</f>
        <v>5268</v>
      </c>
      <c r="AO15" s="69">
        <f t="shared" si="1"/>
        <v>7761</v>
      </c>
      <c r="AP15" cm="1">
        <f t="array" ref="AP15">AO15 - INDEX($E$48:$AH$48, 1, ROWS($AO$5:AO15)-9)</f>
        <v>0</v>
      </c>
    </row>
    <row r="16" spans="1:42" ht="18" x14ac:dyDescent="0.2">
      <c r="A16" s="69" t="s">
        <v>264</v>
      </c>
      <c r="K16" s="203">
        <f>Main!$C$37</f>
        <v>600</v>
      </c>
      <c r="N16" s="62">
        <f>Main!$C$79</f>
        <v>100</v>
      </c>
      <c r="P16" s="62">
        <f>Main!$C$111</f>
        <v>620</v>
      </c>
      <c r="AF16" s="203">
        <f>Main!$C$315</f>
        <v>20</v>
      </c>
      <c r="AN16" s="203">
        <f>Main!$C$358</f>
        <v>130</v>
      </c>
      <c r="AO16" s="69">
        <f>SUM(E16:AN16)</f>
        <v>1470</v>
      </c>
      <c r="AP16" cm="1">
        <f t="array" ref="AP16">AO16 - INDEX($E$48:$AH$48, 1, ROWS($AO$5:AO16)-9)</f>
        <v>0</v>
      </c>
    </row>
    <row r="17" spans="1:42" ht="18" x14ac:dyDescent="0.2">
      <c r="A17" s="69" t="s">
        <v>299</v>
      </c>
      <c r="N17" s="203">
        <f>Main!$C$78</f>
        <v>620</v>
      </c>
      <c r="P17" s="132"/>
      <c r="AF17" s="203">
        <f>Main!$C$316</f>
        <v>80</v>
      </c>
      <c r="AN17" s="203">
        <f>Main!$C$361</f>
        <v>207</v>
      </c>
      <c r="AO17" s="69">
        <f t="shared" si="1"/>
        <v>907</v>
      </c>
      <c r="AP17" cm="1">
        <f t="array" ref="AP17">AO17 - INDEX($E$48:$AH$48, 1, ROWS($AO$5:AO17)-9)</f>
        <v>0</v>
      </c>
    </row>
    <row r="18" spans="1:42" ht="18" x14ac:dyDescent="0.2">
      <c r="A18" s="69" t="s">
        <v>266</v>
      </c>
      <c r="K18" s="203">
        <f>Main!$C$38</f>
        <v>3</v>
      </c>
      <c r="S18" s="62">
        <f>Main!$C$143</f>
        <v>18</v>
      </c>
      <c r="AO18" s="69">
        <f t="shared" si="1"/>
        <v>21</v>
      </c>
      <c r="AP18" cm="1">
        <f t="array" ref="AP18">AO18 - INDEX($E$48:$AH$48, 1, ROWS($AO$5:AO18)-9)</f>
        <v>0</v>
      </c>
    </row>
    <row r="19" spans="1:42" ht="18" x14ac:dyDescent="0.2">
      <c r="A19" s="69" t="s">
        <v>300</v>
      </c>
      <c r="P19" s="203">
        <f>Main!$C$113</f>
        <v>568</v>
      </c>
      <c r="AF19" s="203">
        <f>Main!$C$317</f>
        <v>85</v>
      </c>
      <c r="AN19" s="203">
        <f>Main!$C$364</f>
        <v>180</v>
      </c>
      <c r="AO19" s="69">
        <f t="shared" si="1"/>
        <v>833</v>
      </c>
      <c r="AP19" cm="1">
        <f t="array" ref="AP19">AO19 - INDEX($E$48:$AH$48, 1, ROWS($AO$5:AO19)-9)</f>
        <v>0</v>
      </c>
    </row>
    <row r="20" spans="1:42" ht="19" x14ac:dyDescent="0.2">
      <c r="A20" s="133" t="s">
        <v>49</v>
      </c>
      <c r="C20" s="62">
        <f>Main!$C$29+Main!$C$30</f>
        <v>123</v>
      </c>
      <c r="D20" s="62">
        <f>Main!$C$31</f>
        <v>100</v>
      </c>
      <c r="E20" s="62">
        <f>Main!$C$23+Main!$C$24</f>
        <v>7007</v>
      </c>
      <c r="G20" s="62">
        <f>Main!$C$17+Main!$C$18</f>
        <v>720</v>
      </c>
      <c r="I20" s="62">
        <f>Main!$C$19</f>
        <v>18</v>
      </c>
      <c r="L20" s="62">
        <f>Main!$C$15</f>
        <v>2925</v>
      </c>
      <c r="M20" s="62">
        <f>Main!$C$20+Main!$C$21+Main!$C$22</f>
        <v>44</v>
      </c>
      <c r="AL20" s="62">
        <f>Main!$C$25</f>
        <v>13</v>
      </c>
      <c r="AO20" s="62">
        <f t="shared" si="1"/>
        <v>10727</v>
      </c>
      <c r="AP20" cm="1">
        <f t="array" ref="AP20">AO20 - INDEX($E$48:$AH$48, 1, ROWS($AO$5:AO20)-9)</f>
        <v>0</v>
      </c>
    </row>
    <row r="21" spans="1:42" x14ac:dyDescent="0.2">
      <c r="A21" s="62" t="s">
        <v>179</v>
      </c>
      <c r="AN21" s="62">
        <f>Main!$C$15</f>
        <v>2925</v>
      </c>
      <c r="AO21" s="62">
        <f t="shared" si="1"/>
        <v>2925</v>
      </c>
      <c r="AP21" cm="1">
        <f t="array" ref="AP21">AO21 - INDEX($E$48:$AH$48, 1, ROWS($AO$5:AO21)-9)</f>
        <v>0</v>
      </c>
    </row>
    <row r="22" spans="1:42" ht="18" x14ac:dyDescent="0.2">
      <c r="A22" s="62" t="s">
        <v>253</v>
      </c>
      <c r="K22" s="209">
        <f>Main!$C$39</f>
        <v>4</v>
      </c>
      <c r="N22" s="62">
        <f>Main!$C$82</f>
        <v>5</v>
      </c>
      <c r="P22" s="62">
        <f>Main!$C$112</f>
        <v>25</v>
      </c>
      <c r="S22" s="62">
        <f>Main!$C$149</f>
        <v>14</v>
      </c>
      <c r="AO22" s="62">
        <f t="shared" si="1"/>
        <v>48</v>
      </c>
      <c r="AP22" cm="1">
        <f t="array" ref="AP22">AO22 - INDEX($E$48:$AH$48, 1, ROWS($AO$5:AO22)-9)</f>
        <v>0</v>
      </c>
    </row>
    <row r="23" spans="1:42" ht="19" x14ac:dyDescent="0.2">
      <c r="A23" s="134" t="s">
        <v>36</v>
      </c>
      <c r="C23" s="125">
        <f>Main!$C$72</f>
        <v>32</v>
      </c>
      <c r="O23" s="125">
        <f>Main!$C$65+Main!$C$66+Main!$C$67</f>
        <v>941</v>
      </c>
      <c r="AL23" s="125">
        <f>Main!$C$68</f>
        <v>132</v>
      </c>
      <c r="AO23" s="125">
        <f>SUM(F23:AN23)</f>
        <v>1073</v>
      </c>
      <c r="AP23" cm="1">
        <f t="array" ref="AP23">AO23 - INDEX($E$48:$AH$48, 1, ROWS($AO$5:AO23)-9)</f>
        <v>0</v>
      </c>
    </row>
    <row r="24" spans="1:42" x14ac:dyDescent="0.2">
      <c r="A24" s="125" t="s">
        <v>182</v>
      </c>
      <c r="S24" s="125">
        <f>Main!$C$67</f>
        <v>11</v>
      </c>
      <c r="AC24" s="125">
        <f>Main!$C$66</f>
        <v>30</v>
      </c>
      <c r="AM24" s="125">
        <f>Main!$C$65</f>
        <v>900</v>
      </c>
      <c r="AO24" s="125">
        <f>SUM(F24:AN24)</f>
        <v>941</v>
      </c>
      <c r="AP24" cm="1">
        <f t="array" ref="AP24">AO24 - INDEX($E$48:$AH$48, 1, ROWS($AO$5:AO24)-9)</f>
        <v>0</v>
      </c>
    </row>
    <row r="25" spans="1:42" ht="19" x14ac:dyDescent="0.2">
      <c r="A25" s="135" t="s">
        <v>301</v>
      </c>
      <c r="Q25" s="136">
        <f>Main!$C$103+Main!$C$104</f>
        <v>360</v>
      </c>
      <c r="R25" s="136">
        <f>Main!$C$105</f>
        <v>1435</v>
      </c>
      <c r="AO25" s="136">
        <f>SUM(F25:AN25)</f>
        <v>1795</v>
      </c>
      <c r="AP25" cm="1">
        <f t="array" ref="AP25">AO25 - INDEX($E$48:$AH$48, 1, ROWS($AO$5:AO25)-9)</f>
        <v>0</v>
      </c>
    </row>
    <row r="26" spans="1:42" x14ac:dyDescent="0.2">
      <c r="A26" s="136" t="s">
        <v>50</v>
      </c>
      <c r="S26" s="136">
        <f>Main!$C$104</f>
        <v>18</v>
      </c>
      <c r="AN26" s="136">
        <f>Main!$C$103</f>
        <v>342</v>
      </c>
      <c r="AO26" s="136">
        <f>SUM(F26:AN26)</f>
        <v>360</v>
      </c>
      <c r="AP26" cm="1">
        <f t="array" ref="AP26">AO26 - INDEX($E$48:$AH$48, 1, ROWS($AO$5:AO26)-9)</f>
        <v>0</v>
      </c>
    </row>
    <row r="27" spans="1:42" x14ac:dyDescent="0.2">
      <c r="A27" s="136" t="s">
        <v>302</v>
      </c>
      <c r="S27" s="136">
        <f>Main!$C$105</f>
        <v>1435</v>
      </c>
      <c r="AO27" s="136">
        <f>SUM(F27:AN27)</f>
        <v>1435</v>
      </c>
      <c r="AP27" cm="1">
        <f t="array" ref="AP27">AO27 - INDEX($E$48:$AH$48, 1, ROWS($AO$5:AO27)-9)</f>
        <v>0</v>
      </c>
    </row>
    <row r="28" spans="1:42" ht="19" x14ac:dyDescent="0.2">
      <c r="A28" s="137" t="s">
        <v>303</v>
      </c>
      <c r="T28" s="138">
        <f>Main!$C$135</f>
        <v>83</v>
      </c>
      <c r="U28" s="138">
        <f>Main!$C$136+Main!$C$137</f>
        <v>1633</v>
      </c>
      <c r="AO28" s="138">
        <f>SUM(E28:AN28)</f>
        <v>1716</v>
      </c>
      <c r="AP28" cm="1">
        <f t="array" ref="AP28">AO28 - INDEX($E$48:$AH$48, 1, ROWS($AO$5:AO28)-9)</f>
        <v>0</v>
      </c>
    </row>
    <row r="29" spans="1:42" x14ac:dyDescent="0.2">
      <c r="A29" s="138" t="s">
        <v>273</v>
      </c>
      <c r="V29" s="138">
        <f>Main!$C$135</f>
        <v>83</v>
      </c>
      <c r="AO29" s="138">
        <f>SUM(E29:AN29)</f>
        <v>83</v>
      </c>
      <c r="AP29" cm="1">
        <f t="array" ref="AP29">AO29 - INDEX($E$48:$AH$48, 1, ROWS($AO$5:AO29)-9)</f>
        <v>0</v>
      </c>
    </row>
    <row r="30" spans="1:42" x14ac:dyDescent="0.2">
      <c r="A30" s="138" t="s">
        <v>304</v>
      </c>
      <c r="F30" s="138">
        <f>Main!$C$136</f>
        <v>1233</v>
      </c>
      <c r="AI30" s="138">
        <f>Main!$C$137</f>
        <v>400</v>
      </c>
      <c r="AO30" s="138">
        <f>SUM(E30:AN30)</f>
        <v>1633</v>
      </c>
      <c r="AP30" cm="1">
        <f t="array" ref="AP30">AO30 - INDEX($E$48:$AH$48, 1, ROWS($AO$5:AO30)-9)</f>
        <v>0</v>
      </c>
    </row>
    <row r="31" spans="1:42" ht="20" x14ac:dyDescent="0.2">
      <c r="A31" s="39" t="s">
        <v>73</v>
      </c>
      <c r="B31" s="122">
        <f>Main!$C$175</f>
        <v>26</v>
      </c>
      <c r="C31" s="122">
        <f>Main!$C$176+Main!$C$177+Main!$C$178</f>
        <v>57</v>
      </c>
      <c r="D31" s="122">
        <f>Main!$C$179</f>
        <v>177</v>
      </c>
      <c r="AL31" s="122">
        <f>Main!$C$185</f>
        <v>83</v>
      </c>
      <c r="AO31" s="122">
        <f>SUM(F31:AN31)</f>
        <v>83</v>
      </c>
      <c r="AP31" cm="1">
        <f t="array" ref="AP31">AO31 - INDEX($E$48:$AH$48, 1, ROWS($AO$5:AO31)-9)</f>
        <v>0</v>
      </c>
    </row>
    <row r="32" spans="1:42" ht="19" x14ac:dyDescent="0.2">
      <c r="A32" s="197" t="s">
        <v>305</v>
      </c>
      <c r="C32" s="198">
        <f>Main!$C$206+Main!$C$207</f>
        <v>1893</v>
      </c>
      <c r="E32" s="198">
        <f>Main!$C$201+Main!$C$202</f>
        <v>26266</v>
      </c>
      <c r="X32" s="198">
        <f>Main!$C$200</f>
        <v>104</v>
      </c>
      <c r="AO32" s="198">
        <f t="shared" ref="AO32:AO37" si="2">SUM(E32:AN32)</f>
        <v>26370</v>
      </c>
      <c r="AP32" cm="1">
        <f t="array" ref="AP32">AO32 - INDEX($E$48:$AH$48, 1, ROWS($AO$5:AO32)-9)</f>
        <v>0</v>
      </c>
    </row>
    <row r="33" spans="1:42" x14ac:dyDescent="0.2">
      <c r="A33" s="198" t="s">
        <v>181</v>
      </c>
      <c r="AN33" s="198">
        <f>Main!$C$200</f>
        <v>104</v>
      </c>
      <c r="AO33" s="198">
        <f t="shared" si="2"/>
        <v>104</v>
      </c>
      <c r="AP33" cm="1">
        <f t="array" ref="AP33">AO33 - INDEX($E$48:$AH$48, 1, ROWS($AO$5:AO33)-9)</f>
        <v>0</v>
      </c>
    </row>
    <row r="34" spans="1:42" ht="19" x14ac:dyDescent="0.2">
      <c r="A34" s="139" t="s">
        <v>217</v>
      </c>
      <c r="Z34" s="140">
        <f>Main!$C$236+Main!$C$237+Main!$C$238</f>
        <v>1150</v>
      </c>
      <c r="AA34" s="140">
        <f>Main!$C$239</f>
        <v>140</v>
      </c>
      <c r="AB34" s="140">
        <f>Main!$C$241</f>
        <v>200</v>
      </c>
      <c r="AL34" s="129">
        <f>Main!$C$246</f>
        <v>24776</v>
      </c>
      <c r="AO34" s="140">
        <f>SUM(F34:AN34)</f>
        <v>26266</v>
      </c>
      <c r="AP34" cm="1">
        <f t="array" ref="AP34">AO34 - INDEX($E$48:$AH$48, 1, ROWS($AO$5:AO34)-9)</f>
        <v>0</v>
      </c>
    </row>
    <row r="35" spans="1:42" x14ac:dyDescent="0.2">
      <c r="A35" s="140" t="s">
        <v>306</v>
      </c>
      <c r="S35" s="140">
        <f>Main!$C$148</f>
        <v>20</v>
      </c>
      <c r="AC35" s="140">
        <f>Main!$C$237</f>
        <v>130</v>
      </c>
      <c r="AN35" s="140">
        <f>Main!$C$236</f>
        <v>1000</v>
      </c>
      <c r="AO35" s="140">
        <f t="shared" si="2"/>
        <v>1150</v>
      </c>
      <c r="AP35" cm="1">
        <f t="array" ref="AP35">AO35 - INDEX($E$48:$AH$48, 1, ROWS($AO$5:AO35)-9)</f>
        <v>0</v>
      </c>
    </row>
    <row r="36" spans="1:42" x14ac:dyDescent="0.2">
      <c r="A36" s="140" t="s">
        <v>184</v>
      </c>
      <c r="AN36" s="140">
        <f>Main!$C$239</f>
        <v>140</v>
      </c>
      <c r="AO36" s="140">
        <f t="shared" si="2"/>
        <v>140</v>
      </c>
      <c r="AP36" cm="1">
        <f t="array" ref="AP36">AO36 - INDEX($E$48:$AH$48, 1, ROWS($AO$5:AO36)-9)</f>
        <v>0</v>
      </c>
    </row>
    <row r="37" spans="1:42" x14ac:dyDescent="0.2">
      <c r="A37" s="140" t="s">
        <v>278</v>
      </c>
      <c r="E37" s="140">
        <f>Main!$C$240</f>
        <v>1000</v>
      </c>
      <c r="S37" s="140">
        <f>Main!$C$147</f>
        <v>200</v>
      </c>
      <c r="AO37" s="140">
        <f t="shared" si="2"/>
        <v>1200</v>
      </c>
      <c r="AP37" cm="1">
        <f t="array" ref="AP37">AO37 - INDEX($E$48:$AH$48, 1, ROWS($AO$5:AO37)-9)</f>
        <v>0</v>
      </c>
    </row>
    <row r="38" spans="1:42" ht="19" x14ac:dyDescent="0.2">
      <c r="A38" s="141" t="s">
        <v>96</v>
      </c>
      <c r="AD38" s="142">
        <f>Main!$C$283</f>
        <v>18</v>
      </c>
      <c r="AE38" s="142">
        <f>Main!$C$284</f>
        <v>69</v>
      </c>
      <c r="AL38" s="142">
        <f>Main!$C$285</f>
        <v>73</v>
      </c>
      <c r="AO38" s="142">
        <f>SUM(F38:AM38)</f>
        <v>160</v>
      </c>
      <c r="AP38" cm="1">
        <f t="array" ref="AP38">AO38 - INDEX($E$48:$AH$48, 1, ROWS($AO$5:AO38)-9)</f>
        <v>0</v>
      </c>
    </row>
    <row r="39" spans="1:42" x14ac:dyDescent="0.2">
      <c r="A39" s="142" t="s">
        <v>307</v>
      </c>
      <c r="AF39" s="142">
        <f>Main!$C$283</f>
        <v>18</v>
      </c>
      <c r="AO39" s="142">
        <f t="shared" ref="AO39:AO46" si="3">SUM(F39:AN39)</f>
        <v>18</v>
      </c>
      <c r="AP39" cm="1">
        <f t="array" ref="AP39">AO39 - INDEX($E$48:$AH$48, 1, ROWS($AO$5:AO39)-9)</f>
        <v>0</v>
      </c>
    </row>
    <row r="40" spans="1:42" x14ac:dyDescent="0.2">
      <c r="A40" s="142" t="s">
        <v>365</v>
      </c>
      <c r="AI40" s="142">
        <f>Main!$C$284</f>
        <v>69</v>
      </c>
      <c r="AO40" s="142">
        <f t="shared" si="3"/>
        <v>69</v>
      </c>
      <c r="AP40" cm="1">
        <f t="array" ref="AP40">AO40 - INDEX($E$48:$AH$48, 1, ROWS($AO$5:AO40)-9)</f>
        <v>0</v>
      </c>
    </row>
    <row r="41" spans="1:42" ht="19" x14ac:dyDescent="0.2">
      <c r="A41" s="143" t="s">
        <v>308</v>
      </c>
      <c r="AG41" s="144">
        <f>Main!$C$306</f>
        <v>43</v>
      </c>
      <c r="AH41" s="144">
        <f>Main!$C$307</f>
        <v>85</v>
      </c>
      <c r="AL41" s="144">
        <f>Main!$C$308</f>
        <v>275</v>
      </c>
      <c r="AO41" s="144">
        <f t="shared" si="3"/>
        <v>403</v>
      </c>
      <c r="AP41" cm="1">
        <f t="array" ref="AP41">AO41 - INDEX($E$48:$AH$48, 1, ROWS($AO$5:AO41)-9)</f>
        <v>0</v>
      </c>
    </row>
    <row r="42" spans="1:42" x14ac:dyDescent="0.2">
      <c r="A42" s="144" t="s">
        <v>309</v>
      </c>
      <c r="AN42" s="144">
        <f>Main!$C$306</f>
        <v>43</v>
      </c>
      <c r="AO42" s="144">
        <f t="shared" si="3"/>
        <v>43</v>
      </c>
      <c r="AP42" cm="1">
        <f t="array" ref="AP42">AO42 - INDEX($E$48:$AH$48, 1, ROWS($AO$5:AO42)-9)</f>
        <v>0</v>
      </c>
    </row>
    <row r="43" spans="1:42" x14ac:dyDescent="0.2">
      <c r="A43" s="144" t="s">
        <v>310</v>
      </c>
      <c r="AI43" s="144">
        <f>Main!$C$307</f>
        <v>85</v>
      </c>
      <c r="AO43" s="144">
        <f t="shared" si="3"/>
        <v>85</v>
      </c>
      <c r="AP43" cm="1">
        <f t="array" ref="AP43">AO43 - INDEX($E$48:$AH$48, 1, ROWS($AO$5:AO43)-9)</f>
        <v>0</v>
      </c>
    </row>
    <row r="44" spans="1:42" ht="19" x14ac:dyDescent="0.2">
      <c r="A44" s="145" t="s">
        <v>190</v>
      </c>
      <c r="AJ44" s="146">
        <f>Main!$C$332</f>
        <v>334</v>
      </c>
      <c r="AK44" s="146">
        <f>Main!$C$333</f>
        <v>28</v>
      </c>
      <c r="AL44" s="146">
        <f>Main!$C$334</f>
        <v>192</v>
      </c>
      <c r="AO44" s="146">
        <f t="shared" si="3"/>
        <v>554</v>
      </c>
      <c r="AP44">
        <f>AO44 - AI48</f>
        <v>0</v>
      </c>
    </row>
    <row r="45" spans="1:42" x14ac:dyDescent="0.2">
      <c r="A45" s="146" t="s">
        <v>185</v>
      </c>
      <c r="AN45" s="146">
        <f>Main!$C$332</f>
        <v>334</v>
      </c>
      <c r="AO45" s="146">
        <f t="shared" si="3"/>
        <v>334</v>
      </c>
      <c r="AP45">
        <f>AO45 - AJ48</f>
        <v>0</v>
      </c>
    </row>
    <row r="46" spans="1:42" x14ac:dyDescent="0.2">
      <c r="A46" s="146" t="s">
        <v>311</v>
      </c>
      <c r="AN46" s="146">
        <f>Main!$C$333</f>
        <v>28</v>
      </c>
      <c r="AO46" s="146">
        <f t="shared" si="3"/>
        <v>28</v>
      </c>
      <c r="AP46">
        <f>AO46 - AK48</f>
        <v>0</v>
      </c>
    </row>
    <row r="47" spans="1:42" x14ac:dyDescent="0.2">
      <c r="A47" s="147" t="s">
        <v>312</v>
      </c>
      <c r="B47" s="148">
        <f t="shared" ref="B47:AK47" si="4">SUM(B49:B69)</f>
        <v>2201</v>
      </c>
      <c r="C47" s="148">
        <f t="shared" si="4"/>
        <v>0</v>
      </c>
      <c r="D47" s="148">
        <f t="shared" si="4"/>
        <v>190</v>
      </c>
      <c r="E47" s="148">
        <f t="shared" si="4"/>
        <v>37018</v>
      </c>
      <c r="F47" s="148">
        <f t="shared" si="4"/>
        <v>0</v>
      </c>
      <c r="G47" s="148">
        <f t="shared" si="4"/>
        <v>0</v>
      </c>
      <c r="H47" s="148">
        <f t="shared" si="4"/>
        <v>0</v>
      </c>
      <c r="I47" s="148">
        <f t="shared" si="4"/>
        <v>0</v>
      </c>
      <c r="J47" s="148">
        <f t="shared" si="4"/>
        <v>0</v>
      </c>
      <c r="K47" s="148">
        <f t="shared" si="4"/>
        <v>0</v>
      </c>
      <c r="L47" s="148">
        <f t="shared" si="4"/>
        <v>0</v>
      </c>
      <c r="M47" s="148">
        <f t="shared" si="4"/>
        <v>4</v>
      </c>
      <c r="N47" s="148">
        <f t="shared" si="4"/>
        <v>20</v>
      </c>
      <c r="O47" s="148">
        <f t="shared" si="4"/>
        <v>0</v>
      </c>
      <c r="P47" s="148">
        <f t="shared" si="4"/>
        <v>103</v>
      </c>
      <c r="Q47" s="148">
        <f t="shared" si="4"/>
        <v>0</v>
      </c>
      <c r="R47" s="148">
        <f t="shared" si="4"/>
        <v>0</v>
      </c>
      <c r="S47" s="148">
        <f t="shared" si="4"/>
        <v>0</v>
      </c>
      <c r="T47" s="148">
        <f t="shared" si="4"/>
        <v>0</v>
      </c>
      <c r="U47" s="148">
        <f t="shared" si="4"/>
        <v>0</v>
      </c>
      <c r="V47" s="148">
        <f t="shared" si="4"/>
        <v>0</v>
      </c>
      <c r="W47" s="148">
        <f t="shared" si="4"/>
        <v>0</v>
      </c>
      <c r="X47" s="148">
        <f t="shared" si="4"/>
        <v>0</v>
      </c>
      <c r="Y47" s="148">
        <f t="shared" si="4"/>
        <v>0</v>
      </c>
      <c r="Z47" s="148">
        <f t="shared" si="4"/>
        <v>0</v>
      </c>
      <c r="AA47" s="148">
        <f t="shared" si="4"/>
        <v>0</v>
      </c>
      <c r="AB47" s="148">
        <f t="shared" si="4"/>
        <v>0</v>
      </c>
      <c r="AC47" s="148">
        <f t="shared" si="4"/>
        <v>0</v>
      </c>
      <c r="AD47" s="148">
        <f t="shared" si="4"/>
        <v>0</v>
      </c>
      <c r="AE47" s="148">
        <f t="shared" si="4"/>
        <v>0</v>
      </c>
      <c r="AF47" s="148">
        <f t="shared" si="4"/>
        <v>0</v>
      </c>
      <c r="AG47" s="148">
        <f t="shared" si="4"/>
        <v>0</v>
      </c>
      <c r="AH47" s="148">
        <f t="shared" si="4"/>
        <v>0</v>
      </c>
      <c r="AI47" s="148">
        <f t="shared" si="4"/>
        <v>0</v>
      </c>
      <c r="AJ47" s="148">
        <f t="shared" si="4"/>
        <v>0</v>
      </c>
      <c r="AK47" s="148">
        <f t="shared" si="4"/>
        <v>0</v>
      </c>
    </row>
    <row r="48" spans="1:42" x14ac:dyDescent="0.2">
      <c r="A48" s="149" t="s">
        <v>313</v>
      </c>
      <c r="B48" s="150">
        <f t="shared" ref="B48:AK48" si="5">SUM(B14:B47)</f>
        <v>2227</v>
      </c>
      <c r="C48" s="150">
        <f t="shared" si="5"/>
        <v>2105</v>
      </c>
      <c r="D48" s="150">
        <f t="shared" si="5"/>
        <v>467</v>
      </c>
      <c r="E48" s="150">
        <f t="shared" si="5"/>
        <v>71291</v>
      </c>
      <c r="F48" s="150">
        <f t="shared" si="5"/>
        <v>7761</v>
      </c>
      <c r="G48" s="150">
        <f t="shared" si="5"/>
        <v>1470</v>
      </c>
      <c r="H48" s="150">
        <f t="shared" si="5"/>
        <v>907</v>
      </c>
      <c r="I48" s="150">
        <f t="shared" si="5"/>
        <v>21</v>
      </c>
      <c r="J48" s="150">
        <f t="shared" si="5"/>
        <v>833</v>
      </c>
      <c r="K48" s="150">
        <f t="shared" si="5"/>
        <v>10727</v>
      </c>
      <c r="L48" s="150">
        <f t="shared" si="5"/>
        <v>2925</v>
      </c>
      <c r="M48" s="150">
        <f t="shared" si="5"/>
        <v>48</v>
      </c>
      <c r="N48" s="150">
        <f t="shared" si="5"/>
        <v>1073</v>
      </c>
      <c r="O48" s="150">
        <f t="shared" si="5"/>
        <v>941</v>
      </c>
      <c r="P48" s="150">
        <f t="shared" si="5"/>
        <v>1795</v>
      </c>
      <c r="Q48" s="150">
        <f t="shared" si="5"/>
        <v>360</v>
      </c>
      <c r="R48" s="150">
        <f t="shared" si="5"/>
        <v>1435</v>
      </c>
      <c r="S48" s="150">
        <f t="shared" si="5"/>
        <v>1716</v>
      </c>
      <c r="T48" s="150">
        <f t="shared" si="5"/>
        <v>83</v>
      </c>
      <c r="U48" s="150">
        <f t="shared" si="5"/>
        <v>1633</v>
      </c>
      <c r="V48" s="150">
        <f t="shared" si="5"/>
        <v>83</v>
      </c>
      <c r="W48" s="150">
        <f t="shared" si="5"/>
        <v>26370</v>
      </c>
      <c r="X48" s="150">
        <f t="shared" si="5"/>
        <v>104</v>
      </c>
      <c r="Y48" s="150">
        <f t="shared" si="5"/>
        <v>26266</v>
      </c>
      <c r="Z48" s="150">
        <f t="shared" si="5"/>
        <v>1150</v>
      </c>
      <c r="AA48" s="150">
        <f t="shared" si="5"/>
        <v>140</v>
      </c>
      <c r="AB48" s="150">
        <f t="shared" si="5"/>
        <v>1200</v>
      </c>
      <c r="AC48" s="150">
        <f t="shared" si="5"/>
        <v>160</v>
      </c>
      <c r="AD48" s="150">
        <f t="shared" si="5"/>
        <v>18</v>
      </c>
      <c r="AE48" s="150">
        <f t="shared" si="5"/>
        <v>69</v>
      </c>
      <c r="AF48" s="150">
        <f t="shared" si="5"/>
        <v>403</v>
      </c>
      <c r="AG48" s="150">
        <f t="shared" si="5"/>
        <v>43</v>
      </c>
      <c r="AH48" s="150">
        <f t="shared" si="5"/>
        <v>85</v>
      </c>
      <c r="AI48" s="150">
        <f t="shared" si="5"/>
        <v>554</v>
      </c>
      <c r="AJ48" s="150">
        <f t="shared" si="5"/>
        <v>334</v>
      </c>
      <c r="AK48" s="150">
        <f t="shared" si="5"/>
        <v>28</v>
      </c>
    </row>
    <row r="49" spans="1:19" ht="32" x14ac:dyDescent="0.4">
      <c r="A49" s="151" t="s">
        <v>46</v>
      </c>
      <c r="B49" s="1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153"/>
    </row>
    <row r="50" spans="1:19" ht="18" x14ac:dyDescent="0.2">
      <c r="A50" s="154" t="s">
        <v>179</v>
      </c>
      <c r="B50" s="207">
        <f>Main!$C$29+Main!$C$30</f>
        <v>123</v>
      </c>
      <c r="C50" s="210"/>
      <c r="D50" s="209"/>
      <c r="E50" s="209"/>
      <c r="F50" s="209"/>
      <c r="G50" s="209"/>
      <c r="H50" s="209"/>
      <c r="I50" s="209"/>
      <c r="J50" s="209"/>
      <c r="K50" s="209"/>
      <c r="L50" s="209"/>
      <c r="M50" s="209"/>
      <c r="N50" s="209"/>
      <c r="O50" s="209"/>
      <c r="P50" s="209"/>
      <c r="Q50" s="52"/>
      <c r="R50" s="52"/>
      <c r="S50" s="132"/>
    </row>
    <row r="51" spans="1:19" ht="18" x14ac:dyDescent="0.2">
      <c r="A51" s="154" t="s">
        <v>36</v>
      </c>
      <c r="B51" s="207">
        <f>Main!$C$88</f>
        <v>32</v>
      </c>
      <c r="C51" s="210"/>
      <c r="D51" s="209"/>
      <c r="E51" s="209"/>
      <c r="F51" s="209"/>
      <c r="G51" s="209"/>
      <c r="H51" s="209"/>
      <c r="I51" s="209"/>
      <c r="J51" s="209"/>
      <c r="K51" s="209"/>
      <c r="L51" s="209"/>
      <c r="M51" s="209"/>
      <c r="N51" s="209"/>
      <c r="O51" s="209"/>
      <c r="P51" s="209"/>
      <c r="Q51" s="52"/>
      <c r="R51" s="52"/>
      <c r="S51" s="132"/>
    </row>
    <row r="52" spans="1:19" ht="18" x14ac:dyDescent="0.2">
      <c r="A52" s="154" t="s">
        <v>50</v>
      </c>
      <c r="B52" s="207">
        <f>Main!$C$120</f>
        <v>4</v>
      </c>
      <c r="C52" s="210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52"/>
      <c r="R52" s="52"/>
      <c r="S52" s="132"/>
    </row>
    <row r="53" spans="1:19" ht="18" x14ac:dyDescent="0.2">
      <c r="A53" s="154" t="s">
        <v>305</v>
      </c>
      <c r="B53" s="207">
        <f>Main!$C$218</f>
        <v>1958</v>
      </c>
      <c r="C53" s="210"/>
      <c r="D53" s="209"/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209"/>
      <c r="Q53" s="52"/>
      <c r="R53" s="52"/>
      <c r="S53" s="132"/>
    </row>
    <row r="54" spans="1:19" ht="18" x14ac:dyDescent="0.2">
      <c r="A54" s="154" t="s">
        <v>217</v>
      </c>
      <c r="B54" s="207">
        <f>Main!$C$257</f>
        <v>84</v>
      </c>
      <c r="C54" s="210"/>
      <c r="D54" s="209"/>
      <c r="E54" s="209"/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52"/>
      <c r="R54" s="52"/>
      <c r="S54" s="132"/>
    </row>
    <row r="55" spans="1:19" ht="18" x14ac:dyDescent="0.2">
      <c r="A55" s="151"/>
      <c r="B55" s="207"/>
      <c r="C55" s="210"/>
      <c r="D55" s="209"/>
      <c r="E55" s="209"/>
      <c r="F55" s="209"/>
      <c r="G55" s="209"/>
      <c r="H55" s="209"/>
      <c r="I55" s="209"/>
      <c r="J55" s="209"/>
      <c r="K55" s="209"/>
      <c r="L55" s="209"/>
      <c r="M55" s="209"/>
      <c r="N55" s="209"/>
      <c r="O55" s="209"/>
      <c r="P55" s="209"/>
      <c r="Q55" s="52"/>
      <c r="R55" s="52"/>
      <c r="S55" s="132"/>
    </row>
    <row r="56" spans="1:19" ht="18" x14ac:dyDescent="0.2">
      <c r="A56" s="155" t="s">
        <v>314</v>
      </c>
      <c r="B56" s="209"/>
      <c r="C56" s="209"/>
      <c r="D56" s="210"/>
      <c r="E56" s="209"/>
      <c r="F56" s="209"/>
      <c r="G56" s="209"/>
      <c r="H56" s="210"/>
      <c r="I56" s="209"/>
      <c r="J56" s="209"/>
      <c r="K56" s="209"/>
      <c r="L56" s="209"/>
      <c r="M56" s="209"/>
      <c r="N56" s="209"/>
      <c r="O56" s="209"/>
      <c r="P56" s="209"/>
      <c r="Q56" s="52"/>
      <c r="R56" s="52"/>
    </row>
    <row r="57" spans="1:19" ht="18" x14ac:dyDescent="0.2">
      <c r="A57" s="156" t="s">
        <v>179</v>
      </c>
      <c r="B57" s="209"/>
      <c r="C57" s="209"/>
      <c r="D57" s="206">
        <f>Main!$C$49</f>
        <v>10</v>
      </c>
      <c r="E57" s="209"/>
      <c r="F57" s="209"/>
      <c r="G57" s="209"/>
      <c r="H57" s="210"/>
      <c r="I57" s="209"/>
      <c r="J57" s="209"/>
      <c r="K57" s="209"/>
      <c r="L57" s="209"/>
      <c r="M57" s="209"/>
      <c r="N57" s="209"/>
      <c r="O57" s="209"/>
      <c r="P57" s="209"/>
      <c r="Q57" s="52"/>
      <c r="R57" s="52"/>
    </row>
    <row r="58" spans="1:19" ht="18" x14ac:dyDescent="0.2">
      <c r="A58" s="156" t="s">
        <v>181</v>
      </c>
      <c r="B58" s="209"/>
      <c r="C58" s="209"/>
      <c r="D58" s="206">
        <f>Main!$C$221</f>
        <v>90</v>
      </c>
      <c r="E58" s="209"/>
      <c r="F58" s="209"/>
      <c r="G58" s="209"/>
      <c r="H58" s="210"/>
      <c r="I58" s="209"/>
      <c r="J58" s="209"/>
      <c r="K58" s="209"/>
      <c r="L58" s="209"/>
      <c r="M58" s="209"/>
      <c r="N58" s="209"/>
      <c r="O58" s="209"/>
      <c r="P58" s="209"/>
      <c r="Q58" s="52"/>
      <c r="R58" s="52"/>
    </row>
    <row r="59" spans="1:19" ht="18" x14ac:dyDescent="0.2">
      <c r="A59" s="156" t="s">
        <v>217</v>
      </c>
      <c r="B59" s="209"/>
      <c r="C59" s="209"/>
      <c r="D59" s="206">
        <f>Main!$C$261</f>
        <v>90</v>
      </c>
      <c r="E59" s="209"/>
      <c r="F59" s="209"/>
      <c r="G59" s="209"/>
      <c r="H59" s="210"/>
      <c r="I59" s="209"/>
      <c r="J59" s="209"/>
      <c r="K59" s="209"/>
      <c r="L59" s="209"/>
      <c r="M59" s="209"/>
      <c r="N59" s="209"/>
      <c r="O59" s="209"/>
      <c r="P59" s="209"/>
      <c r="Q59" s="52"/>
      <c r="R59" s="52"/>
    </row>
    <row r="60" spans="1:19" ht="18" x14ac:dyDescent="0.2">
      <c r="A60" s="157" t="s">
        <v>262</v>
      </c>
      <c r="B60" s="209"/>
      <c r="C60" s="210"/>
      <c r="D60" s="209"/>
      <c r="E60" s="209"/>
      <c r="F60" s="209"/>
      <c r="G60" s="209"/>
      <c r="H60" s="210"/>
      <c r="I60" s="210"/>
      <c r="J60" s="210"/>
      <c r="K60" s="210"/>
      <c r="L60" s="210"/>
      <c r="M60" s="210"/>
      <c r="N60" s="210"/>
      <c r="O60" s="210"/>
      <c r="P60" s="210"/>
    </row>
    <row r="61" spans="1:19" ht="18" x14ac:dyDescent="0.2">
      <c r="A61" s="158" t="s">
        <v>179</v>
      </c>
      <c r="B61" s="209"/>
      <c r="C61" s="210"/>
      <c r="D61" s="209"/>
      <c r="E61" s="208">
        <f>Main!$C$41</f>
        <v>10120</v>
      </c>
      <c r="F61" s="209"/>
      <c r="G61" s="209"/>
      <c r="H61" s="209"/>
      <c r="I61" s="209"/>
      <c r="J61" s="209"/>
      <c r="K61" s="209"/>
      <c r="L61" s="209"/>
      <c r="M61" s="209"/>
      <c r="N61" s="209"/>
      <c r="O61" s="209"/>
      <c r="P61" s="209"/>
      <c r="Q61" s="52"/>
      <c r="R61" s="52"/>
      <c r="S61" s="132"/>
    </row>
    <row r="62" spans="1:19" ht="18" x14ac:dyDescent="0.2">
      <c r="A62" s="158" t="s">
        <v>36</v>
      </c>
      <c r="B62" s="209"/>
      <c r="C62" s="210"/>
      <c r="D62" s="209"/>
      <c r="E62" s="208">
        <f>Main!$C$80</f>
        <v>328</v>
      </c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52"/>
      <c r="R62" s="52"/>
      <c r="S62" s="132"/>
    </row>
    <row r="63" spans="1:19" ht="18" x14ac:dyDescent="0.2">
      <c r="A63" s="158" t="s">
        <v>315</v>
      </c>
      <c r="B63" s="209"/>
      <c r="C63" s="210"/>
      <c r="D63" s="209"/>
      <c r="E63" s="208">
        <f>Main!$C$200+Main!$C$201+Main!$C$202</f>
        <v>26370</v>
      </c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52"/>
      <c r="R63" s="52"/>
      <c r="S63" s="132"/>
    </row>
    <row r="64" spans="1:19" ht="18" x14ac:dyDescent="0.2">
      <c r="A64" s="158" t="s">
        <v>103</v>
      </c>
      <c r="B64" s="209"/>
      <c r="C64" s="209"/>
      <c r="D64" s="209"/>
      <c r="E64" s="208">
        <f>Main!$C$318</f>
        <v>200</v>
      </c>
      <c r="F64" s="209"/>
      <c r="G64" s="209"/>
      <c r="H64" s="210"/>
      <c r="I64" s="209"/>
      <c r="J64" s="209"/>
      <c r="K64" s="209"/>
      <c r="L64" s="209"/>
      <c r="M64" s="209"/>
      <c r="N64" s="209"/>
      <c r="O64" s="209"/>
      <c r="P64" s="209"/>
      <c r="Q64" s="52"/>
      <c r="R64" s="52"/>
    </row>
    <row r="65" spans="1:19" ht="18" x14ac:dyDescent="0.2">
      <c r="A65" s="149" t="s">
        <v>316</v>
      </c>
      <c r="B65" s="209"/>
      <c r="C65" s="209"/>
      <c r="D65" s="209"/>
      <c r="E65" s="209"/>
      <c r="F65" s="209"/>
      <c r="G65" s="209"/>
      <c r="H65" s="209"/>
      <c r="I65" s="209"/>
      <c r="J65" s="209"/>
      <c r="K65" s="209"/>
      <c r="L65" s="209"/>
      <c r="M65" s="209"/>
      <c r="N65" s="210"/>
      <c r="O65" s="209"/>
      <c r="P65" s="209"/>
      <c r="Q65" s="52"/>
      <c r="R65" s="52"/>
    </row>
    <row r="66" spans="1:19" ht="18" x14ac:dyDescent="0.2">
      <c r="A66" s="159" t="s">
        <v>317</v>
      </c>
      <c r="B66" s="209"/>
      <c r="C66" s="209"/>
      <c r="D66" s="209"/>
      <c r="E66" s="209"/>
      <c r="F66" s="209"/>
      <c r="G66" s="209"/>
      <c r="H66" s="209"/>
      <c r="I66" s="209"/>
      <c r="J66" s="209"/>
      <c r="K66" s="209"/>
      <c r="L66" s="209"/>
      <c r="M66" s="209">
        <f>Main!$C$39</f>
        <v>4</v>
      </c>
      <c r="N66" s="210"/>
      <c r="O66" s="209"/>
      <c r="P66" s="209"/>
      <c r="Q66" s="52"/>
      <c r="R66" s="52"/>
    </row>
    <row r="67" spans="1:19" ht="18" x14ac:dyDescent="0.2">
      <c r="A67" s="159" t="s">
        <v>318</v>
      </c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09">
        <f>Main!$C$81</f>
        <v>8</v>
      </c>
      <c r="O67" s="209"/>
      <c r="P67" s="209"/>
      <c r="Q67" s="52"/>
      <c r="R67" s="52"/>
    </row>
    <row r="68" spans="1:19" ht="18" x14ac:dyDescent="0.2">
      <c r="A68" s="149" t="s">
        <v>257</v>
      </c>
      <c r="B68" s="209"/>
      <c r="C68" s="209"/>
      <c r="D68" s="209"/>
      <c r="E68" s="209"/>
      <c r="F68" s="209"/>
      <c r="G68" s="209"/>
      <c r="H68" s="209"/>
      <c r="I68" s="209"/>
      <c r="J68" s="209"/>
      <c r="K68" s="209"/>
      <c r="L68" s="209"/>
      <c r="M68" s="210"/>
      <c r="N68" s="209"/>
      <c r="O68" s="209"/>
      <c r="P68" s="209">
        <f>Main!$C$115</f>
        <v>103</v>
      </c>
      <c r="Q68" s="52"/>
      <c r="R68" s="52"/>
    </row>
    <row r="69" spans="1:19" ht="24" x14ac:dyDescent="0.3">
      <c r="A69" s="149" t="s">
        <v>256</v>
      </c>
      <c r="B69" s="209"/>
      <c r="C69" s="209"/>
      <c r="D69" s="209"/>
      <c r="E69" s="209"/>
      <c r="F69" s="209"/>
      <c r="G69" s="209"/>
      <c r="H69" s="209"/>
      <c r="I69" s="209"/>
      <c r="J69" s="209"/>
      <c r="K69" s="209"/>
      <c r="L69" s="209"/>
      <c r="M69" s="209"/>
      <c r="N69" s="209">
        <f>Main!$C$83</f>
        <v>12</v>
      </c>
      <c r="O69" s="209"/>
      <c r="P69" s="209"/>
      <c r="Q69" s="52"/>
      <c r="R69" s="52"/>
      <c r="S69" s="160"/>
    </row>
  </sheetData>
  <sheetProtection algorithmName="SHA-512" hashValue="ZIJE9Ji+XGCdwEGlYk5LzKWgrZP7CbbpE1CWw3sLit2icB6h+vOJfS1Ifq4zG2XxSlxG5NTUikSJvhSxWX/IHA==" saltValue="2gfLGAtgS1ORYa161pg7iw==" spinCount="100000" sheet="1" objects="1" scenario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Instructions</vt:lpstr>
      <vt:lpstr>Main</vt:lpstr>
      <vt:lpstr>Flows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</dc:creator>
  <cp:lastModifiedBy>KT</cp:lastModifiedBy>
  <dcterms:created xsi:type="dcterms:W3CDTF">2025-08-15T06:08:32Z</dcterms:created>
  <dcterms:modified xsi:type="dcterms:W3CDTF">2025-08-26T09:39:55Z</dcterms:modified>
</cp:coreProperties>
</file>